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dfleming\Documents\FALL2019\BUS 302 - Managerial Finance\BUS 302 - Excel\"/>
    </mc:Choice>
  </mc:AlternateContent>
  <bookViews>
    <workbookView xWindow="-30" yWindow="90" windowWidth="8940" windowHeight="13005" tabRatio="730"/>
  </bookViews>
  <sheets>
    <sheet name="04 Chapter model" sheetId="1" r:id="rId1"/>
    <sheet name="Financial Leverage" sheetId="2" r:id="rId2"/>
    <sheet name="4-2" sheetId="3" r:id="rId3"/>
    <sheet name="4-3" sheetId="4" r:id="rId4"/>
    <sheet name="4-5" sheetId="7" r:id="rId5"/>
    <sheet name="Web App 4A" sheetId="8" r:id="rId6"/>
  </sheets>
  <definedNames>
    <definedName name="_xlnm.Print_Area" localSheetId="0">'04 Chapter model'!$A$1:$I$132</definedName>
    <definedName name="taxtable">#REF!</definedName>
  </definedNames>
  <calcPr calcId="152511"/>
</workbook>
</file>

<file path=xl/calcChain.xml><?xml version="1.0" encoding="utf-8"?>
<calcChain xmlns="http://schemas.openxmlformats.org/spreadsheetml/2006/main">
  <c r="E10" i="1" l="1"/>
  <c r="E71" i="1" s="1"/>
  <c r="D22" i="7"/>
  <c r="B22" i="7"/>
  <c r="B23" i="7" s="1"/>
  <c r="D17" i="7"/>
  <c r="B17" i="7"/>
  <c r="D12" i="7"/>
  <c r="B12" i="7"/>
  <c r="B13" i="7" s="1"/>
  <c r="E32" i="1"/>
  <c r="D32" i="1"/>
  <c r="D47" i="8"/>
  <c r="H14" i="8"/>
  <c r="D14" i="8"/>
  <c r="C14" i="8"/>
  <c r="H2" i="8"/>
  <c r="D71" i="1"/>
  <c r="D57" i="1"/>
  <c r="H43" i="1"/>
  <c r="G43" i="1"/>
  <c r="D43" i="1"/>
  <c r="H18" i="1"/>
  <c r="G18" i="1"/>
  <c r="E43" i="1" l="1"/>
  <c r="E57" i="1"/>
  <c r="B18" i="7"/>
  <c r="E18" i="1"/>
  <c r="D18" i="1"/>
  <c r="G1" i="8"/>
  <c r="G1" i="7"/>
  <c r="G1" i="4"/>
  <c r="H1" i="3"/>
  <c r="H1" i="2"/>
  <c r="D62" i="8"/>
  <c r="D60" i="8"/>
  <c r="D58" i="8"/>
  <c r="D57" i="8"/>
  <c r="D56" i="8"/>
  <c r="D52" i="8"/>
  <c r="D50" i="8"/>
  <c r="D49" i="8"/>
  <c r="D48" i="8"/>
  <c r="D40" i="8"/>
  <c r="D37" i="8"/>
  <c r="D36" i="8"/>
  <c r="D35" i="8"/>
  <c r="I26" i="8"/>
  <c r="I28" i="8" s="1"/>
  <c r="H26" i="8"/>
  <c r="I18" i="8"/>
  <c r="I21" i="8" s="1"/>
  <c r="H18" i="8"/>
  <c r="H21" i="8" s="1"/>
  <c r="I14" i="8"/>
  <c r="E14" i="8"/>
  <c r="E8" i="8"/>
  <c r="D8" i="8"/>
  <c r="I6" i="8"/>
  <c r="I7" i="8" s="1"/>
  <c r="H6" i="8"/>
  <c r="E6" i="8"/>
  <c r="G5" i="8"/>
  <c r="E5" i="8"/>
  <c r="D5" i="8"/>
  <c r="E4" i="8"/>
  <c r="D4" i="8"/>
  <c r="G3" i="8"/>
  <c r="G19" i="8" s="1"/>
  <c r="E3" i="8"/>
  <c r="D3" i="8"/>
  <c r="I2" i="8"/>
  <c r="E2" i="8"/>
  <c r="E47" i="1"/>
  <c r="D47" i="1"/>
  <c r="D49" i="1" s="1"/>
  <c r="B65" i="1"/>
  <c r="E9" i="3"/>
  <c r="E18" i="3"/>
  <c r="B20" i="3" s="1"/>
  <c r="F20" i="3" s="1"/>
  <c r="E16" i="3"/>
  <c r="D20" i="3"/>
  <c r="B52" i="2"/>
  <c r="B101" i="1"/>
  <c r="D101" i="1"/>
  <c r="D34" i="1"/>
  <c r="D23" i="1"/>
  <c r="E37" i="1"/>
  <c r="E80" i="1" s="1"/>
  <c r="E23" i="1"/>
  <c r="E26" i="1" s="1"/>
  <c r="H25" i="1" s="1"/>
  <c r="F18" i="4"/>
  <c r="E10" i="4"/>
  <c r="G35" i="2"/>
  <c r="G37" i="2" s="1"/>
  <c r="G38" i="2" s="1"/>
  <c r="G40" i="2"/>
  <c r="F35" i="2"/>
  <c r="F37" i="2"/>
  <c r="F38" i="2" s="1"/>
  <c r="F39" i="2" s="1"/>
  <c r="F40" i="2"/>
  <c r="E35" i="2"/>
  <c r="E37" i="2" s="1"/>
  <c r="E38" i="2" s="1"/>
  <c r="E40" i="2"/>
  <c r="G21" i="2"/>
  <c r="E21" i="2"/>
  <c r="F21" i="2"/>
  <c r="G18" i="2"/>
  <c r="G19" i="2" s="1"/>
  <c r="G20" i="2" s="1"/>
  <c r="G22" i="2" s="1"/>
  <c r="F18" i="2"/>
  <c r="F19" i="2" s="1"/>
  <c r="F20" i="2" s="1"/>
  <c r="F22" i="2" s="1"/>
  <c r="E18" i="2"/>
  <c r="E19" i="2" s="1"/>
  <c r="E20" i="2" s="1"/>
  <c r="E22" i="2" s="1"/>
  <c r="G31" i="2"/>
  <c r="C31" i="2"/>
  <c r="G12" i="2"/>
  <c r="C12" i="2"/>
  <c r="E73" i="1"/>
  <c r="E77" i="1"/>
  <c r="D77" i="1"/>
  <c r="E76" i="1"/>
  <c r="D76" i="1"/>
  <c r="E75" i="1"/>
  <c r="D75" i="1"/>
  <c r="D73" i="1"/>
  <c r="D72" i="1"/>
  <c r="H45" i="1"/>
  <c r="H46" i="1"/>
  <c r="H48" i="1"/>
  <c r="H53" i="1"/>
  <c r="H44" i="1"/>
  <c r="G45" i="1"/>
  <c r="G46" i="1"/>
  <c r="G48" i="1"/>
  <c r="G53" i="1"/>
  <c r="G44" i="1"/>
  <c r="H21" i="1"/>
  <c r="H22" i="1"/>
  <c r="H26" i="1"/>
  <c r="H20" i="1"/>
  <c r="D59" i="1"/>
  <c r="E59" i="1"/>
  <c r="D83" i="1"/>
  <c r="E72" i="1"/>
  <c r="G47" i="1"/>
  <c r="B64" i="1"/>
  <c r="E49" i="1"/>
  <c r="E50" i="1" s="1"/>
  <c r="H47" i="1"/>
  <c r="G49" i="1" l="1"/>
  <c r="D50" i="1"/>
  <c r="G50" i="1" s="1"/>
  <c r="D81" i="1"/>
  <c r="H24" i="1"/>
  <c r="H23" i="1"/>
  <c r="E78" i="1"/>
  <c r="E23" i="2"/>
  <c r="E24" i="2" s="1"/>
  <c r="E25" i="2" s="1"/>
  <c r="C48" i="2" s="1"/>
  <c r="G23" i="2"/>
  <c r="G24" i="2" s="1"/>
  <c r="G25" i="2" s="1"/>
  <c r="C50" i="2" s="1"/>
  <c r="F23" i="2"/>
  <c r="F24" i="2" s="1"/>
  <c r="F25" i="2" s="1"/>
  <c r="C49" i="2" s="1"/>
  <c r="E83" i="1"/>
  <c r="E87" i="1"/>
  <c r="E81" i="1"/>
  <c r="E88" i="1"/>
  <c r="E60" i="1"/>
  <c r="E91" i="1" s="1"/>
  <c r="E39" i="2"/>
  <c r="E41" i="2" s="1"/>
  <c r="E42" i="2" s="1"/>
  <c r="E43" i="2" s="1"/>
  <c r="E44" i="2" s="1"/>
  <c r="D48" i="2" s="1"/>
  <c r="F41" i="2"/>
  <c r="G39" i="2"/>
  <c r="G41" i="2" s="1"/>
  <c r="G42" i="2" s="1"/>
  <c r="G43" i="2" s="1"/>
  <c r="G44" i="2" s="1"/>
  <c r="D50" i="2" s="1"/>
  <c r="C3" i="8"/>
  <c r="D38" i="8"/>
  <c r="D59" i="8"/>
  <c r="F42" i="2"/>
  <c r="F43" i="2" s="1"/>
  <c r="F44" i="2" s="1"/>
  <c r="D49" i="2" s="1"/>
  <c r="E34" i="1"/>
  <c r="E38" i="1" s="1"/>
  <c r="H34" i="1" s="1"/>
  <c r="H49" i="1"/>
  <c r="D26" i="1"/>
  <c r="D65" i="1"/>
  <c r="B66" i="1" s="1"/>
  <c r="D51" i="1"/>
  <c r="B99" i="1" s="1"/>
  <c r="H50" i="1"/>
  <c r="E51" i="1"/>
  <c r="D20" i="8"/>
  <c r="D19" i="8"/>
  <c r="D18" i="8"/>
  <c r="D17" i="8"/>
  <c r="D16" i="8"/>
  <c r="D15" i="8"/>
  <c r="D54" i="8"/>
  <c r="D21" i="8"/>
  <c r="I9" i="8"/>
  <c r="E7" i="8"/>
  <c r="E21" i="8"/>
  <c r="E20" i="8"/>
  <c r="E19" i="8"/>
  <c r="E18" i="8"/>
  <c r="E17" i="8"/>
  <c r="E16" i="8"/>
  <c r="E15" i="8"/>
  <c r="I30" i="8"/>
  <c r="E28" i="8"/>
  <c r="C5" i="8"/>
  <c r="H7" i="8"/>
  <c r="G21" i="8"/>
  <c r="H28" i="8"/>
  <c r="D51" i="8"/>
  <c r="D6" i="8"/>
  <c r="G7" i="8"/>
  <c r="G6" i="8" s="1"/>
  <c r="G11" i="8"/>
  <c r="G16" i="8"/>
  <c r="G17" i="8"/>
  <c r="C17" i="8" s="1"/>
  <c r="H31" i="1" l="1"/>
  <c r="H32" i="1"/>
  <c r="D52" i="2"/>
  <c r="C52" i="2"/>
  <c r="H37" i="1"/>
  <c r="H35" i="1"/>
  <c r="G51" i="1"/>
  <c r="H33" i="1"/>
  <c r="H36" i="1"/>
  <c r="H29" i="1"/>
  <c r="H30" i="1"/>
  <c r="H38" i="1"/>
  <c r="D85" i="1"/>
  <c r="D58" i="1"/>
  <c r="D90" i="1" s="1"/>
  <c r="D84" i="1"/>
  <c r="D54" i="1"/>
  <c r="G25" i="1"/>
  <c r="D88" i="1"/>
  <c r="D99" i="1"/>
  <c r="G21" i="1"/>
  <c r="G26" i="1"/>
  <c r="G24" i="1"/>
  <c r="D78" i="1"/>
  <c r="G23" i="1"/>
  <c r="G22" i="1"/>
  <c r="G20" i="1"/>
  <c r="E58" i="1"/>
  <c r="E90" i="1" s="1"/>
  <c r="H51" i="1"/>
  <c r="E85" i="1"/>
  <c r="E84" i="1"/>
  <c r="E86" i="1"/>
  <c r="C113" i="1" s="1"/>
  <c r="E54" i="1"/>
  <c r="H54" i="1" s="1"/>
  <c r="G4" i="8"/>
  <c r="C4" i="8" s="1"/>
  <c r="C6" i="8"/>
  <c r="G30" i="8"/>
  <c r="C21" i="8"/>
  <c r="G18" i="8"/>
  <c r="C20" i="8"/>
  <c r="I10" i="8"/>
  <c r="E10" i="8" s="1"/>
  <c r="E9" i="8"/>
  <c r="G9" i="8"/>
  <c r="C11" i="8"/>
  <c r="G8" i="8"/>
  <c r="C8" i="8" s="1"/>
  <c r="C7" i="8"/>
  <c r="D61" i="8"/>
  <c r="H30" i="8"/>
  <c r="D7" i="8"/>
  <c r="D39" i="8"/>
  <c r="H9" i="8"/>
  <c r="E23" i="8"/>
  <c r="E30" i="8"/>
  <c r="E29" i="8"/>
  <c r="E27" i="8"/>
  <c r="E26" i="8"/>
  <c r="E25" i="8"/>
  <c r="E24" i="8"/>
  <c r="C16" i="8"/>
  <c r="C19" i="8"/>
  <c r="I11" i="8" l="1"/>
  <c r="E11" i="8" s="1"/>
  <c r="D36" i="1"/>
  <c r="D37" i="1" s="1"/>
  <c r="G54" i="1"/>
  <c r="D9" i="8"/>
  <c r="D41" i="8"/>
  <c r="H10" i="8"/>
  <c r="H11" i="8" s="1"/>
  <c r="G26" i="8"/>
  <c r="G15" i="8"/>
  <c r="C15" i="8" s="1"/>
  <c r="C18" i="8"/>
  <c r="G28" i="8"/>
  <c r="C23" i="8"/>
  <c r="C30" i="8"/>
  <c r="D30" i="8"/>
  <c r="D29" i="8"/>
  <c r="D27" i="8"/>
  <c r="D26" i="8"/>
  <c r="D25" i="8"/>
  <c r="D24" i="8"/>
  <c r="D63" i="8"/>
  <c r="D23" i="8"/>
  <c r="G10" i="8"/>
  <c r="C10" i="8" s="1"/>
  <c r="C9" i="8"/>
  <c r="D28" i="8"/>
  <c r="D80" i="1" l="1"/>
  <c r="D87" i="1"/>
  <c r="D86" i="1"/>
  <c r="C114" i="1" s="1"/>
  <c r="F99" i="1"/>
  <c r="H99" i="1" s="1"/>
  <c r="D60" i="1"/>
  <c r="D91" i="1" s="1"/>
  <c r="D38" i="1"/>
  <c r="G27" i="8"/>
  <c r="C27" i="8" s="1"/>
  <c r="C28" i="8"/>
  <c r="G25" i="8"/>
  <c r="C25" i="8" s="1"/>
  <c r="G24" i="8"/>
  <c r="C24" i="8" s="1"/>
  <c r="C26" i="8"/>
  <c r="D11" i="8"/>
  <c r="D43" i="8"/>
  <c r="D42" i="8"/>
  <c r="D10" i="8"/>
  <c r="G29" i="8"/>
  <c r="C29" i="8" s="1"/>
  <c r="G38" i="1" l="1"/>
  <c r="G29" i="1"/>
  <c r="G35" i="1"/>
  <c r="G30" i="1"/>
  <c r="G36" i="1"/>
  <c r="G31" i="1"/>
  <c r="G33" i="1"/>
  <c r="G34" i="1"/>
  <c r="G32" i="1"/>
  <c r="G37" i="1"/>
  <c r="D114" i="1"/>
  <c r="F101" i="1"/>
  <c r="H101" i="1" s="1"/>
</calcChain>
</file>

<file path=xl/sharedStrings.xml><?xml version="1.0" encoding="utf-8"?>
<sst xmlns="http://schemas.openxmlformats.org/spreadsheetml/2006/main" count="296" uniqueCount="196">
  <si>
    <t>(in millions of dollars)</t>
  </si>
  <si>
    <t>Net sales</t>
  </si>
  <si>
    <t xml:space="preserve">Less interest </t>
  </si>
  <si>
    <t>Earnings before taxes (EBT)</t>
  </si>
  <si>
    <t>Common dividends</t>
  </si>
  <si>
    <t>Addition to retained earnings</t>
  </si>
  <si>
    <t>Earnings per share (EPS)</t>
  </si>
  <si>
    <t>Dividends per share (DPS)</t>
  </si>
  <si>
    <t>Book value per share (BVPS)</t>
  </si>
  <si>
    <t>Assets</t>
  </si>
  <si>
    <t>Accounts receivable</t>
  </si>
  <si>
    <t>Inventories</t>
  </si>
  <si>
    <t>Total current assets</t>
  </si>
  <si>
    <t>Net plant and equipment</t>
  </si>
  <si>
    <t>Total assets</t>
  </si>
  <si>
    <t>Liabilities and equity</t>
  </si>
  <si>
    <t>Accounts payable</t>
  </si>
  <si>
    <t>Notes payable</t>
  </si>
  <si>
    <t>Accruals</t>
  </si>
  <si>
    <t>Total current liabilities</t>
  </si>
  <si>
    <t>Long-term bonds</t>
  </si>
  <si>
    <t>Retained earnings</t>
  </si>
  <si>
    <t>Total common equity</t>
  </si>
  <si>
    <t>Total liabilities and equity</t>
  </si>
  <si>
    <t>Tax rate</t>
  </si>
  <si>
    <t>Taxes</t>
  </si>
  <si>
    <t>INPUT DATA SECTION:  Historical Data Used in the Analysis</t>
  </si>
  <si>
    <t>INCOME STATEMENTS - Allied Food Products - Years Ending December 31</t>
  </si>
  <si>
    <t>PER-SHARE DATA</t>
  </si>
  <si>
    <t>Shares outstanding (in millions)</t>
  </si>
  <si>
    <t>Year-end stock price</t>
  </si>
  <si>
    <t>COMMON SIZE BALANCE SHEETS - Allied Food Products - December 31</t>
  </si>
  <si>
    <t>Operating income (EBIT)</t>
  </si>
  <si>
    <t>COMMON SIZE</t>
  </si>
  <si>
    <t>Liquidity ratios</t>
  </si>
  <si>
    <t>Asset Management ratios</t>
  </si>
  <si>
    <t>Debt Management ratios</t>
  </si>
  <si>
    <t>Profitability ratios</t>
  </si>
  <si>
    <t>Market Value ratios</t>
  </si>
  <si>
    <t>Quick Ratio</t>
  </si>
  <si>
    <t>Current Ratio</t>
  </si>
  <si>
    <t>Inventory Turnover</t>
  </si>
  <si>
    <t>Days Sales Outstanding</t>
  </si>
  <si>
    <t>Times Interest Earned</t>
  </si>
  <si>
    <t>Profit Margin</t>
  </si>
  <si>
    <t>Basic Earning Power</t>
  </si>
  <si>
    <t>Market-to-Book Ratio</t>
  </si>
  <si>
    <t>Ind Avg</t>
  </si>
  <si>
    <t>Allied</t>
  </si>
  <si>
    <t>Current Assets</t>
  </si>
  <si>
    <t>Fixed Assets</t>
  </si>
  <si>
    <t>Total Assets</t>
  </si>
  <si>
    <t>Debt</t>
  </si>
  <si>
    <t>Common Equity</t>
  </si>
  <si>
    <t>Net income (NI)</t>
  </si>
  <si>
    <t>Good</t>
  </si>
  <si>
    <t>Expected</t>
  </si>
  <si>
    <t>Bad</t>
  </si>
  <si>
    <t xml:space="preserve">            Business Conditions      </t>
  </si>
  <si>
    <t>Fixed</t>
  </si>
  <si>
    <t>Variable</t>
  </si>
  <si>
    <t xml:space="preserve">            Business Conditions    </t>
  </si>
  <si>
    <t>Total Liab &amp; Equity</t>
  </si>
  <si>
    <t xml:space="preserve">  Interest  </t>
  </si>
  <si>
    <t xml:space="preserve">  Taxes      </t>
  </si>
  <si>
    <t>Sales revenues</t>
  </si>
  <si>
    <t>04 Chapter model</t>
  </si>
  <si>
    <r>
      <t xml:space="preserve">Common stock </t>
    </r>
    <r>
      <rPr>
        <b/>
        <sz val="8"/>
        <rFont val="Arial"/>
        <family val="2"/>
      </rPr>
      <t>(50M  shares)</t>
    </r>
  </si>
  <si>
    <r>
      <t>ROE</t>
    </r>
    <r>
      <rPr>
        <b/>
        <vertAlign val="subscript"/>
        <sz val="10"/>
        <rFont val="Arial"/>
        <family val="2"/>
      </rPr>
      <t>U</t>
    </r>
    <r>
      <rPr>
        <b/>
        <sz val="10"/>
        <rFont val="Arial"/>
        <family val="2"/>
      </rPr>
      <t xml:space="preserve"> </t>
    </r>
  </si>
  <si>
    <t>Total operating costs</t>
  </si>
  <si>
    <t xml:space="preserve">  Oper. costs</t>
  </si>
  <si>
    <t>Interest rate on debt</t>
  </si>
  <si>
    <t>SOLUTIONS TO SELF-TEST QUESTIONS</t>
  </si>
  <si>
    <t>Current ratio</t>
  </si>
  <si>
    <t>Current liabilities ($M)</t>
  </si>
  <si>
    <t>Current assets ($M)</t>
  </si>
  <si>
    <t>Annual Sales ($M)</t>
  </si>
  <si>
    <t>Inventory ($M)</t>
  </si>
  <si>
    <t>Accounts receivable ($M)</t>
  </si>
  <si>
    <t>ROE</t>
  </si>
  <si>
    <r>
      <t>ROE</t>
    </r>
    <r>
      <rPr>
        <b/>
        <vertAlign val="subscript"/>
        <sz val="10"/>
        <rFont val="Arial"/>
        <family val="2"/>
      </rPr>
      <t>L</t>
    </r>
    <r>
      <rPr>
        <b/>
        <sz val="10"/>
        <rFont val="Arial"/>
        <family val="2"/>
      </rPr>
      <t xml:space="preserve"> </t>
    </r>
  </si>
  <si>
    <t>Chapter 4.  Analysis of Financial Statements</t>
  </si>
  <si>
    <t>Cash and equivalents</t>
  </si>
  <si>
    <t>Trend analysis allows you to see how a firm's results are changing over time.  For example, Allied's ROE has been declining for the past 3 years, and it is now below the industry average.  Not a good sign.</t>
  </si>
  <si>
    <t>ROE =</t>
  </si>
  <si>
    <t>Profit Margin   x</t>
  </si>
  <si>
    <t>x       Equity Multiplier</t>
  </si>
  <si>
    <t xml:space="preserve">TA Turnover  </t>
  </si>
  <si>
    <t>Sales / Total assets</t>
  </si>
  <si>
    <t>Total assets / Equity</t>
  </si>
  <si>
    <t>x</t>
  </si>
  <si>
    <t xml:space="preserve">  =    </t>
  </si>
  <si>
    <t>Industry =</t>
  </si>
  <si>
    <t>Firm U</t>
  </si>
  <si>
    <t>Firm L</t>
  </si>
  <si>
    <t>Average</t>
  </si>
  <si>
    <t xml:space="preserve">  =</t>
  </si>
  <si>
    <t>CA / CL</t>
  </si>
  <si>
    <t xml:space="preserve">Inventory = </t>
  </si>
  <si>
    <t xml:space="preserve"> -</t>
  </si>
  <si>
    <t xml:space="preserve"> =</t>
  </si>
  <si>
    <t xml:space="preserve">   Not relevant to this question.</t>
  </si>
  <si>
    <t>Inventory turnover  =</t>
  </si>
  <si>
    <t>Sales / Inventory =</t>
  </si>
  <si>
    <t>Days sales outstanding =</t>
  </si>
  <si>
    <t>Receivables / (Sales/365)    =</t>
  </si>
  <si>
    <t>days</t>
  </si>
  <si>
    <t>Common Size Analysis is not illustrated in the text, but we show it because it is so easy to do with Excel.  The common size balance sheet shows each asset and liability item as a percentage of total assets, and the common size income statement shows the other items as a percentage of sales.  Common size statements are useful for getting an idea of how the various statement items match up, and they are especially good for comparing companies that differ in size.</t>
  </si>
  <si>
    <r>
      <t xml:space="preserve">EBIT(1 </t>
    </r>
    <r>
      <rPr>
        <b/>
        <sz val="10"/>
        <rFont val="Calibri"/>
        <family val="2"/>
      </rPr>
      <t>–</t>
    </r>
    <r>
      <rPr>
        <b/>
        <sz val="10"/>
        <rFont val="Arial"/>
        <family val="2"/>
      </rPr>
      <t xml:space="preserve"> T)</t>
    </r>
  </si>
  <si>
    <r>
      <t>–   [</t>
    </r>
    <r>
      <rPr>
        <b/>
        <sz val="10"/>
        <rFont val="Arial"/>
        <family val="2"/>
      </rPr>
      <t xml:space="preserve">Cap Ex </t>
    </r>
  </si>
  <si>
    <t>–</t>
  </si>
  <si>
    <t>FCF =</t>
  </si>
  <si>
    <r>
      <t xml:space="preserve">+   </t>
    </r>
    <r>
      <rPr>
        <b/>
        <sz val="10"/>
        <rFont val="Arial"/>
        <family val="2"/>
      </rPr>
      <t>Depr'n</t>
    </r>
  </si>
  <si>
    <t>+ $100.0</t>
  </si>
  <si>
    <t>– [$230.0</t>
  </si>
  <si>
    <t>SECTIONS 4-1 TO 4-6,  RATIO ANALYSIS</t>
  </si>
  <si>
    <t>Fixed Assets Turnover</t>
  </si>
  <si>
    <t>Total Assets Turnover</t>
  </si>
  <si>
    <t xml:space="preserve">   Operating Margin</t>
  </si>
  <si>
    <t>Net income / Sales</t>
  </si>
  <si>
    <t xml:space="preserve"> ROE  =    </t>
  </si>
  <si>
    <t xml:space="preserve">  ROE =    </t>
  </si>
  <si>
    <t>SECTION 4-2</t>
  </si>
  <si>
    <t>SECTION 4-3</t>
  </si>
  <si>
    <t>SECTION 4-5</t>
  </si>
  <si>
    <r>
      <t xml:space="preserve">= CL </t>
    </r>
    <r>
      <rPr>
        <b/>
        <sz val="10"/>
        <rFont val="Calibri"/>
        <family val="2"/>
      </rPr>
      <t>×</t>
    </r>
    <r>
      <rPr>
        <b/>
        <sz val="10"/>
        <rFont val="Arial"/>
        <family val="2"/>
      </rPr>
      <t xml:space="preserve"> CR = CL </t>
    </r>
    <r>
      <rPr>
        <b/>
        <sz val="10"/>
        <rFont val="Calibri"/>
        <family val="2"/>
      </rPr>
      <t>×</t>
    </r>
    <r>
      <rPr>
        <b/>
        <sz val="10"/>
        <rFont val="Arial"/>
        <family val="2"/>
      </rPr>
      <t xml:space="preserve"> 2 =</t>
    </r>
  </si>
  <si>
    <r>
      <t xml:space="preserve">Quick ratio = (CA </t>
    </r>
    <r>
      <rPr>
        <b/>
        <sz val="10"/>
        <rFont val="Calibri"/>
        <family val="2"/>
      </rPr>
      <t>–</t>
    </r>
    <r>
      <rPr>
        <b/>
        <sz val="10"/>
        <rFont val="Arial"/>
        <family val="2"/>
      </rPr>
      <t xml:space="preserve"> Inventories) / CL</t>
    </r>
  </si>
  <si>
    <r>
      <t xml:space="preserve">   CA </t>
    </r>
    <r>
      <rPr>
        <b/>
        <sz val="10"/>
        <rFont val="Calibri"/>
        <family val="2"/>
      </rPr>
      <t>–</t>
    </r>
    <r>
      <rPr>
        <b/>
        <sz val="10"/>
        <rFont val="Arial"/>
        <family val="2"/>
      </rPr>
      <t xml:space="preserve"> Inventories =  CL </t>
    </r>
    <r>
      <rPr>
        <b/>
        <sz val="10"/>
        <rFont val="Calibri"/>
        <family val="2"/>
      </rPr>
      <t>×</t>
    </r>
    <r>
      <rPr>
        <b/>
        <sz val="10"/>
        <rFont val="Arial"/>
        <family val="2"/>
      </rPr>
      <t xml:space="preserve"> 1.6 =</t>
    </r>
  </si>
  <si>
    <t>4a.   A company has current liabilities of $500 million, and its current ratio is 2.0.  What is its level of current assets?</t>
  </si>
  <si>
    <t xml:space="preserve">4b.   A company has current liabilities of $500 million, and its current ratio is 2.0.   If this firm’s quick ratio is 1.6, how much inventory does it have?  </t>
  </si>
  <si>
    <t xml:space="preserve">5a.   A firm has annual sales of $100 million, $20 million of inventory, and $30 million of accounts receivable.  What is its inventory turnover ratio?  </t>
  </si>
  <si>
    <t>Income Statement:</t>
  </si>
  <si>
    <t>Industry</t>
  </si>
  <si>
    <t>Operating costs excl. deprec. &amp; amort.</t>
  </si>
  <si>
    <t>Depreciation &amp; amortization</t>
  </si>
  <si>
    <t xml:space="preserve">  Total operating costs</t>
  </si>
  <si>
    <t>Interest</t>
  </si>
  <si>
    <t>EBT</t>
  </si>
  <si>
    <t>Balance Sheet:</t>
  </si>
  <si>
    <t>Cash &amp; equivalents</t>
  </si>
  <si>
    <t xml:space="preserve">  Total current assets</t>
  </si>
  <si>
    <t>Net fixed assets</t>
  </si>
  <si>
    <t>Other assets</t>
  </si>
  <si>
    <t xml:space="preserve">  Total assets</t>
  </si>
  <si>
    <t xml:space="preserve">  Total current liabilities</t>
  </si>
  <si>
    <t xml:space="preserve">  Total common equity</t>
  </si>
  <si>
    <t xml:space="preserve">   Total liabilities &amp; equity</t>
  </si>
  <si>
    <t>Table 4A.1</t>
  </si>
  <si>
    <t>Table 4A.3</t>
  </si>
  <si>
    <t>Table 4.1.  Effects of Financial Leverage on Stockholder Returns</t>
  </si>
  <si>
    <t>Other LT assets</t>
  </si>
  <si>
    <t>Oper costs except depr'n &amp; amort.</t>
  </si>
  <si>
    <t>Depreciation and amortization</t>
  </si>
  <si>
    <t>Net income</t>
  </si>
  <si>
    <t>+ ΔNOWC</t>
  </si>
  <si>
    <t>]</t>
  </si>
  <si>
    <t>+ $150</t>
  </si>
  <si>
    <t>Price-to-Earnings Ratio</t>
  </si>
  <si>
    <t>SECTION 4-7.  TYING THE RATIOS TOGETHER:  THE DuPONT EQUATION</t>
  </si>
  <si>
    <t>The DuPont equation shows that a firm's ROE depends on three essential components:  (1) the profit margin, (2) the total assets turnover, and (3) the equity multiplier.</t>
  </si>
  <si>
    <t>SECTION 4-9c,  TREND ANALYSIS</t>
  </si>
  <si>
    <t>Current assets as found in previous question</t>
  </si>
  <si>
    <t xml:space="preserve">5b.   A firm has annual sales of $100 million, $20 million of inventory, and $30 million of accounts receivable.  What is its DSO? </t>
  </si>
  <si>
    <t>Table 4A.2</t>
  </si>
  <si>
    <t>Allied:  Common Size Income Statements</t>
  </si>
  <si>
    <t>Allied:  Common Size Balance Sheets</t>
  </si>
  <si>
    <t>Allied:  Income Statement Percentage Change Analysis</t>
  </si>
  <si>
    <t>Allied:  Balance Sheet Percentage Change Analysis</t>
  </si>
  <si>
    <t>Total liabilities</t>
  </si>
  <si>
    <t>Total Debt to Total Capital</t>
  </si>
  <si>
    <t>Return on Common Equity</t>
  </si>
  <si>
    <t xml:space="preserve">   Return on Invested Capital</t>
  </si>
  <si>
    <t xml:space="preserve">    Industry Equity Multiplier = ROE/ROA =</t>
  </si>
  <si>
    <t xml:space="preserve"> = F88/F87</t>
  </si>
  <si>
    <t xml:space="preserve">  Total liabilities</t>
  </si>
  <si>
    <t>Return on Total Assets</t>
  </si>
  <si>
    <t>FIRM U (UNLEVERAGED, i.e., NO DEBT)</t>
  </si>
  <si>
    <t>FIRM L (LEVERAGED, i.e., SOME DEBT)</t>
  </si>
  <si>
    <t>4. A company has 10% ROA.  Assume that a company's total assets equal total invested capital, and that the company has no debt, so its total invested capital equals total equity.  What is the company's ROE and ROIC?</t>
  </si>
  <si>
    <t xml:space="preserve">Total assets </t>
  </si>
  <si>
    <t>Assumptions:  Insert numbers to arrive at answers</t>
  </si>
  <si>
    <t xml:space="preserve">Tax rate </t>
  </si>
  <si>
    <t>ROA =</t>
  </si>
  <si>
    <t>/</t>
  </si>
  <si>
    <t>Since there is no debt, firm is 100% equity financed so Equity = Assets.</t>
  </si>
  <si>
    <t>Equity</t>
  </si>
  <si>
    <t>Since there is no debt, firm has no interest expense so EBIT(1-T) = Net income.</t>
  </si>
  <si>
    <t>ROIC =</t>
  </si>
  <si>
    <t>EBIT(1-T)</t>
  </si>
  <si>
    <t>Debt + Equity</t>
  </si>
  <si>
    <t>2015 FREE CASH FLOW (FCF)</t>
  </si>
  <si>
    <t>Here we calculate Allied's ratios for 2014 and 2015.  These results are compared across time and to the  industry averages.</t>
  </si>
  <si>
    <t>2015
Industry Composite</t>
  </si>
  <si>
    <t>Base year = 2014</t>
  </si>
  <si>
    <t>Percent Change in 2015</t>
  </si>
  <si>
    <t>11/05/14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</si>
</sst>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0.0"/>
    <numFmt numFmtId="165" formatCode="0.0"/>
    <numFmt numFmtId="166" formatCode="&quot;$&quot;#,##0.00"/>
    <numFmt numFmtId="167" formatCode="&quot;$&quot;#,##0.0"/>
    <numFmt numFmtId="168" formatCode="&quot;$&quot;#,##0"/>
    <numFmt numFmtId="169" formatCode="0.0%"/>
    <numFmt numFmtId="170" formatCode="&quot;$&quot;#,##0.0_);\(&quot;$&quot;#,##0.0\)"/>
    <numFmt numFmtId="171" formatCode="_(&quot;$&quot;* #,##0.0_);_(&quot;$&quot;* \(#,##0.0\);_(&quot;$&quot;* &quot;-&quot;?_);_(@_)"/>
    <numFmt numFmtId="172" formatCode="_(* #,##0.0_);_(* \(#,##0.0\);_(* &quot;-&quot;?_);_(@_)"/>
  </numFmts>
  <fonts count="26" x14ac:knownFonts="1">
    <font>
      <sz val="10"/>
      <name val="Arial"/>
    </font>
    <font>
      <sz val="10"/>
      <name val="Arial"/>
      <family val="2"/>
    </font>
    <font>
      <sz val="8"/>
      <name val="Arial"/>
      <family val="2"/>
    </font>
    <font>
      <b/>
      <sz val="10"/>
      <name val="Arial"/>
      <family val="2"/>
    </font>
    <font>
      <b/>
      <sz val="8"/>
      <name val="Arial"/>
      <family val="2"/>
    </font>
    <font>
      <b/>
      <sz val="12"/>
      <color indexed="16"/>
      <name val="Arial"/>
      <family val="2"/>
    </font>
    <font>
      <b/>
      <sz val="10"/>
      <color indexed="12"/>
      <name val="Arial"/>
      <family val="2"/>
    </font>
    <font>
      <b/>
      <sz val="10"/>
      <color indexed="21"/>
      <name val="Arial"/>
      <family val="2"/>
    </font>
    <font>
      <b/>
      <sz val="10"/>
      <color indexed="16"/>
      <name val="Arial"/>
      <family val="2"/>
    </font>
    <font>
      <b/>
      <sz val="10"/>
      <color indexed="18"/>
      <name val="Arial"/>
      <family val="2"/>
    </font>
    <font>
      <b/>
      <i/>
      <sz val="10"/>
      <name val="Arial"/>
      <family val="2"/>
    </font>
    <font>
      <b/>
      <sz val="10"/>
      <color indexed="17"/>
      <name val="Arial"/>
      <family val="2"/>
    </font>
    <font>
      <b/>
      <sz val="12"/>
      <name val="Arial"/>
      <family val="2"/>
    </font>
    <font>
      <b/>
      <vertAlign val="subscript"/>
      <sz val="10"/>
      <name val="Arial"/>
      <family val="2"/>
    </font>
    <font>
      <b/>
      <sz val="13"/>
      <color indexed="16"/>
      <name val="Arial"/>
      <family val="2"/>
    </font>
    <font>
      <b/>
      <i/>
      <sz val="10"/>
      <color indexed="16"/>
      <name val="Arial"/>
      <family val="2"/>
    </font>
    <font>
      <b/>
      <sz val="11"/>
      <color indexed="16"/>
      <name val="Arial"/>
      <family val="2"/>
    </font>
    <font>
      <b/>
      <sz val="9"/>
      <color indexed="12"/>
      <name val="Arial"/>
      <family val="2"/>
    </font>
    <font>
      <sz val="12"/>
      <name val="Times"/>
      <family val="1"/>
    </font>
    <font>
      <b/>
      <sz val="9"/>
      <name val="Arial"/>
      <family val="2"/>
    </font>
    <font>
      <b/>
      <sz val="10"/>
      <name val="Calibri"/>
      <family val="2"/>
    </font>
    <font>
      <b/>
      <sz val="11"/>
      <color theme="1"/>
      <name val="Calibri"/>
      <family val="2"/>
      <scheme val="minor"/>
    </font>
    <font>
      <i/>
      <sz val="11"/>
      <color theme="1"/>
      <name val="Calibri"/>
      <family val="2"/>
      <scheme val="minor"/>
    </font>
    <font>
      <sz val="11"/>
      <color rgb="FF0000FF"/>
      <name val="Calibri"/>
      <family val="2"/>
      <scheme val="minor"/>
    </font>
    <font>
      <b/>
      <sz val="10"/>
      <color rgb="FFFF0000"/>
      <name val="Arial"/>
      <family val="2"/>
    </font>
    <font>
      <b/>
      <sz val="10"/>
      <color rgb="FF0000FF"/>
      <name val="Arial"/>
      <family val="2"/>
    </font>
  </fonts>
  <fills count="5">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CC99"/>
        <bgColor indexed="64"/>
      </patternFill>
    </fill>
  </fills>
  <borders count="26">
    <border>
      <left/>
      <right/>
      <top/>
      <bottom/>
      <diagonal/>
    </border>
    <border>
      <left/>
      <right/>
      <top/>
      <bottom style="medium">
        <color indexed="64"/>
      </bottom>
      <diagonal/>
    </border>
    <border>
      <left/>
      <right/>
      <top/>
      <bottom style="thin">
        <color indexed="64"/>
      </bottom>
      <diagonal/>
    </border>
    <border>
      <left/>
      <right/>
      <top style="thin">
        <color indexed="64"/>
      </top>
      <bottom style="double">
        <color indexed="64"/>
      </bottom>
      <diagonal/>
    </border>
    <border>
      <left/>
      <right/>
      <top/>
      <bottom style="medium">
        <color indexed="17"/>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15">
    <xf numFmtId="0" fontId="0" fillId="0" borderId="0" xfId="0"/>
    <xf numFmtId="0" fontId="3" fillId="0" borderId="0" xfId="0" applyFont="1" applyFill="1"/>
    <xf numFmtId="0" fontId="3" fillId="0" borderId="0" xfId="0" applyNumberFormat="1" applyFont="1" applyFill="1"/>
    <xf numFmtId="0" fontId="3" fillId="0" borderId="0" xfId="0" quotePrefix="1" applyFont="1" applyFill="1" applyAlignment="1">
      <alignment horizontal="left"/>
    </xf>
    <xf numFmtId="0" fontId="6" fillId="0" borderId="0" xfId="0" applyFont="1" applyFill="1"/>
    <xf numFmtId="0" fontId="7" fillId="0" borderId="0" xfId="0" applyFont="1" applyFill="1"/>
    <xf numFmtId="0" fontId="6" fillId="0" borderId="0" xfId="0" applyNumberFormat="1" applyFont="1" applyFill="1"/>
    <xf numFmtId="0" fontId="8" fillId="0" borderId="0" xfId="0" applyFont="1" applyFill="1"/>
    <xf numFmtId="0" fontId="9" fillId="0" borderId="0" xfId="0" applyFont="1" applyFill="1"/>
    <xf numFmtId="0" fontId="3" fillId="0" borderId="0" xfId="0" quotePrefix="1" applyNumberFormat="1" applyFont="1" applyFill="1" applyAlignment="1">
      <alignment horizontal="left"/>
    </xf>
    <xf numFmtId="0" fontId="3" fillId="0" borderId="0" xfId="0" applyFont="1" applyFill="1" applyProtection="1">
      <protection locked="0"/>
    </xf>
    <xf numFmtId="0" fontId="3" fillId="0" borderId="0" xfId="0" applyFont="1" applyFill="1" applyBorder="1"/>
    <xf numFmtId="0" fontId="10" fillId="0" borderId="0" xfId="0" applyNumberFormat="1" applyFont="1" applyFill="1"/>
    <xf numFmtId="0" fontId="10" fillId="0" borderId="0" xfId="0" applyFont="1" applyFill="1"/>
    <xf numFmtId="0" fontId="3" fillId="0" borderId="0" xfId="0" applyNumberFormat="1" applyFont="1" applyFill="1" applyAlignment="1">
      <alignment horizontal="center"/>
    </xf>
    <xf numFmtId="0" fontId="3" fillId="0" borderId="0" xfId="0" applyFont="1" applyFill="1" applyAlignment="1">
      <alignment horizontal="center"/>
    </xf>
    <xf numFmtId="0" fontId="3" fillId="0" borderId="1" xfId="0" applyFont="1" applyFill="1" applyBorder="1"/>
    <xf numFmtId="166" fontId="6" fillId="0" borderId="0" xfId="0" applyNumberFormat="1" applyFont="1" applyFill="1"/>
    <xf numFmtId="3" fontId="6" fillId="0" borderId="0" xfId="0" applyNumberFormat="1" applyFont="1" applyFill="1"/>
    <xf numFmtId="9" fontId="6" fillId="0" borderId="0" xfId="0" applyNumberFormat="1" applyFont="1" applyFill="1"/>
    <xf numFmtId="0" fontId="3" fillId="0" borderId="0" xfId="0" applyFont="1" applyFill="1" applyAlignment="1" applyProtection="1">
      <alignment horizontal="center"/>
      <protection locked="0"/>
    </xf>
    <xf numFmtId="164" fontId="3" fillId="0" borderId="0" xfId="0" applyNumberFormat="1" applyFont="1" applyFill="1"/>
    <xf numFmtId="168" fontId="3" fillId="0" borderId="0" xfId="0" applyNumberFormat="1" applyFont="1" applyFill="1"/>
    <xf numFmtId="0" fontId="3" fillId="2" borderId="0" xfId="0" applyFont="1" applyFill="1"/>
    <xf numFmtId="0" fontId="3" fillId="2" borderId="0" xfId="0" applyNumberFormat="1" applyFont="1" applyFill="1"/>
    <xf numFmtId="3" fontId="10" fillId="0" borderId="0" xfId="0" applyNumberFormat="1" applyFont="1" applyFill="1"/>
    <xf numFmtId="3" fontId="3" fillId="0" borderId="0" xfId="0" applyNumberFormat="1" applyFont="1" applyFill="1"/>
    <xf numFmtId="9" fontId="3" fillId="0" borderId="0" xfId="1" applyFont="1" applyFill="1"/>
    <xf numFmtId="0" fontId="3" fillId="3" borderId="0" xfId="0" applyFont="1" applyFill="1"/>
    <xf numFmtId="0" fontId="3" fillId="3" borderId="0" xfId="0" applyNumberFormat="1" applyFont="1" applyFill="1"/>
    <xf numFmtId="167" fontId="3" fillId="0" borderId="0" xfId="0" applyNumberFormat="1" applyFont="1" applyFill="1" applyBorder="1"/>
    <xf numFmtId="0" fontId="3" fillId="0" borderId="0" xfId="0" quotePrefix="1" applyFont="1" applyFill="1"/>
    <xf numFmtId="166" fontId="3" fillId="0" borderId="0" xfId="0" applyNumberFormat="1" applyFont="1" applyFill="1"/>
    <xf numFmtId="169" fontId="3" fillId="0" borderId="0" xfId="0" applyNumberFormat="1" applyFont="1" applyFill="1"/>
    <xf numFmtId="170" fontId="3" fillId="0" borderId="0" xfId="0" applyNumberFormat="1" applyFont="1" applyFill="1"/>
    <xf numFmtId="170" fontId="3" fillId="0" borderId="0" xfId="0" applyNumberFormat="1" applyFont="1" applyFill="1" applyBorder="1"/>
    <xf numFmtId="2" fontId="3" fillId="0" borderId="0" xfId="0" applyNumberFormat="1" applyFont="1" applyFill="1" applyAlignment="1">
      <alignment horizontal="center"/>
    </xf>
    <xf numFmtId="2" fontId="7" fillId="0" borderId="0" xfId="0" applyNumberFormat="1" applyFont="1" applyFill="1" applyAlignment="1">
      <alignment horizontal="center"/>
    </xf>
    <xf numFmtId="0" fontId="3" fillId="0" borderId="0" xfId="0" applyFont="1" applyFill="1" applyAlignment="1">
      <alignment horizontal="left"/>
    </xf>
    <xf numFmtId="10" fontId="3" fillId="0" borderId="0" xfId="1" applyNumberFormat="1" applyFont="1" applyFill="1"/>
    <xf numFmtId="10" fontId="3" fillId="0" borderId="2" xfId="1" applyNumberFormat="1" applyFont="1" applyFill="1" applyBorder="1"/>
    <xf numFmtId="10" fontId="3" fillId="2" borderId="3" xfId="1" applyNumberFormat="1" applyFont="1" applyFill="1" applyBorder="1"/>
    <xf numFmtId="10" fontId="3" fillId="0" borderId="0" xfId="1" applyNumberFormat="1" applyFont="1" applyFill="1" applyBorder="1"/>
    <xf numFmtId="10" fontId="3" fillId="3" borderId="3" xfId="1" applyNumberFormat="1" applyFont="1" applyFill="1" applyBorder="1"/>
    <xf numFmtId="0" fontId="3" fillId="0" borderId="0" xfId="0" applyFont="1" applyFill="1" applyAlignment="1">
      <alignment horizontal="left" indent="1"/>
    </xf>
    <xf numFmtId="0" fontId="10" fillId="0" borderId="0" xfId="0" applyFont="1" applyFill="1" applyAlignment="1">
      <alignment horizontal="left"/>
    </xf>
    <xf numFmtId="2" fontId="3" fillId="0" borderId="0" xfId="0" applyNumberFormat="1" applyFont="1" applyFill="1"/>
    <xf numFmtId="0" fontId="11" fillId="0" borderId="4" xfId="0" applyFont="1" applyFill="1" applyBorder="1" applyAlignment="1">
      <alignment horizontal="right"/>
    </xf>
    <xf numFmtId="2" fontId="11" fillId="0" borderId="0" xfId="0" applyNumberFormat="1" applyFont="1" applyFill="1"/>
    <xf numFmtId="10" fontId="11" fillId="0" borderId="0" xfId="1" applyNumberFormat="1" applyFont="1" applyFill="1"/>
    <xf numFmtId="10" fontId="11" fillId="0" borderId="0" xfId="1" applyNumberFormat="1" applyFont="1" applyFill="1" applyBorder="1"/>
    <xf numFmtId="2" fontId="11" fillId="0" borderId="0" xfId="0" applyNumberFormat="1" applyFont="1" applyFill="1" applyBorder="1"/>
    <xf numFmtId="169" fontId="3" fillId="0" borderId="5" xfId="1" applyNumberFormat="1" applyFont="1" applyFill="1" applyBorder="1" applyAlignment="1">
      <alignment horizontal="center"/>
    </xf>
    <xf numFmtId="169" fontId="3" fillId="0" borderId="6" xfId="1" applyNumberFormat="1" applyFont="1" applyFill="1" applyBorder="1" applyAlignment="1">
      <alignment horizontal="center"/>
    </xf>
    <xf numFmtId="169" fontId="3" fillId="0" borderId="7" xfId="1" applyNumberFormat="1" applyFont="1" applyFill="1" applyBorder="1" applyAlignment="1">
      <alignment horizontal="center"/>
    </xf>
    <xf numFmtId="169" fontId="3" fillId="0" borderId="8" xfId="1" applyNumberFormat="1" applyFont="1" applyFill="1" applyBorder="1" applyAlignment="1">
      <alignment horizontal="center"/>
    </xf>
    <xf numFmtId="0" fontId="3" fillId="0" borderId="5" xfId="0" applyNumberFormat="1" applyFont="1" applyFill="1" applyBorder="1" applyAlignment="1">
      <alignment horizontal="center"/>
    </xf>
    <xf numFmtId="0" fontId="3" fillId="0" borderId="7" xfId="0" applyNumberFormat="1" applyFont="1" applyFill="1" applyBorder="1" applyAlignment="1">
      <alignment horizontal="center"/>
    </xf>
    <xf numFmtId="0" fontId="3" fillId="0" borderId="9" xfId="0" applyNumberFormat="1"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5" xfId="0" applyFont="1" applyBorder="1"/>
    <xf numFmtId="0" fontId="12" fillId="0" borderId="0" xfId="0" applyFont="1"/>
    <xf numFmtId="0" fontId="3" fillId="0" borderId="0" xfId="0" applyFont="1" applyBorder="1"/>
    <xf numFmtId="14" fontId="6" fillId="0" borderId="0" xfId="0" quotePrefix="1" applyNumberFormat="1" applyFont="1" applyAlignment="1">
      <alignment horizontal="center"/>
    </xf>
    <xf numFmtId="0" fontId="3" fillId="0" borderId="0" xfId="0" applyFont="1"/>
    <xf numFmtId="0" fontId="3" fillId="0" borderId="11" xfId="0" applyFont="1" applyBorder="1"/>
    <xf numFmtId="0" fontId="3" fillId="0" borderId="12" xfId="0" applyFont="1" applyBorder="1"/>
    <xf numFmtId="168" fontId="3" fillId="0" borderId="12" xfId="0" applyNumberFormat="1" applyFont="1" applyBorder="1"/>
    <xf numFmtId="0" fontId="3" fillId="0" borderId="13" xfId="0" applyFont="1" applyBorder="1"/>
    <xf numFmtId="0" fontId="3" fillId="0" borderId="14" xfId="0" applyFont="1" applyBorder="1"/>
    <xf numFmtId="168" fontId="3" fillId="0" borderId="0" xfId="0" applyNumberFormat="1"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applyAlignment="1">
      <alignment horizontal="center"/>
    </xf>
    <xf numFmtId="0" fontId="3" fillId="0" borderId="17" xfId="0" applyFont="1" applyBorder="1" applyAlignment="1">
      <alignment horizontal="center"/>
    </xf>
    <xf numFmtId="0" fontId="3" fillId="0" borderId="0" xfId="0" applyFont="1" applyBorder="1" applyAlignment="1">
      <alignment horizontal="center"/>
    </xf>
    <xf numFmtId="167" fontId="3" fillId="0" borderId="0" xfId="0" applyNumberFormat="1" applyFont="1" applyBorder="1"/>
    <xf numFmtId="167" fontId="3" fillId="0" borderId="14" xfId="0" applyNumberFormat="1" applyFont="1" applyBorder="1"/>
    <xf numFmtId="165" fontId="3" fillId="0" borderId="0" xfId="0" applyNumberFormat="1" applyFont="1" applyBorder="1"/>
    <xf numFmtId="165" fontId="3" fillId="0" borderId="14" xfId="0" applyNumberFormat="1" applyFont="1" applyBorder="1"/>
    <xf numFmtId="165" fontId="3" fillId="0" borderId="2" xfId="0" applyNumberFormat="1" applyFont="1" applyBorder="1"/>
    <xf numFmtId="165" fontId="3" fillId="0" borderId="19" xfId="0" applyNumberFormat="1" applyFont="1" applyBorder="1"/>
    <xf numFmtId="165" fontId="3" fillId="0" borderId="18" xfId="0" applyNumberFormat="1" applyFont="1" applyBorder="1"/>
    <xf numFmtId="165" fontId="3" fillId="0" borderId="17" xfId="0" applyNumberFormat="1" applyFont="1" applyBorder="1"/>
    <xf numFmtId="9" fontId="3" fillId="0" borderId="0" xfId="1" applyFont="1" applyBorder="1" applyAlignment="1">
      <alignment horizontal="center"/>
    </xf>
    <xf numFmtId="0" fontId="3" fillId="0" borderId="0" xfId="0" applyFont="1" applyBorder="1" applyAlignment="1">
      <alignment horizontal="left"/>
    </xf>
    <xf numFmtId="167" fontId="3" fillId="0" borderId="3" xfId="0" applyNumberFormat="1" applyFont="1" applyBorder="1"/>
    <xf numFmtId="167" fontId="3" fillId="0" borderId="20" xfId="0" applyNumberFormat="1" applyFont="1" applyBorder="1"/>
    <xf numFmtId="0" fontId="3" fillId="0" borderId="21" xfId="0" applyFont="1" applyBorder="1"/>
    <xf numFmtId="0" fontId="3" fillId="0" borderId="2" xfId="0" applyFont="1" applyBorder="1"/>
    <xf numFmtId="169" fontId="3" fillId="0" borderId="22" xfId="1" applyNumberFormat="1" applyFont="1" applyBorder="1"/>
    <xf numFmtId="165" fontId="3" fillId="0" borderId="0" xfId="0" applyNumberFormat="1" applyFont="1"/>
    <xf numFmtId="0" fontId="3" fillId="0" borderId="18" xfId="0" applyFont="1" applyBorder="1"/>
    <xf numFmtId="164" fontId="3" fillId="0" borderId="18" xfId="0" applyNumberFormat="1" applyFont="1" applyBorder="1"/>
    <xf numFmtId="164" fontId="3" fillId="0" borderId="17" xfId="0" applyNumberFormat="1" applyFont="1" applyBorder="1"/>
    <xf numFmtId="0" fontId="6" fillId="0" borderId="0" xfId="0" applyFont="1" applyBorder="1" applyAlignment="1">
      <alignment horizontal="center"/>
    </xf>
    <xf numFmtId="0" fontId="3" fillId="0" borderId="0" xfId="0" applyFont="1" applyBorder="1" applyAlignment="1">
      <alignment horizontal="left" indent="1"/>
    </xf>
    <xf numFmtId="9" fontId="6" fillId="0" borderId="0" xfId="0" applyNumberFormat="1" applyFont="1"/>
    <xf numFmtId="0" fontId="14" fillId="0" borderId="0" xfId="0" applyFont="1"/>
    <xf numFmtId="0" fontId="15" fillId="0" borderId="0" xfId="0" applyFont="1"/>
    <xf numFmtId="168" fontId="3" fillId="0" borderId="0" xfId="0" applyNumberFormat="1" applyFont="1"/>
    <xf numFmtId="168" fontId="3" fillId="3" borderId="10" xfId="0" applyNumberFormat="1" applyFont="1" applyFill="1" applyBorder="1"/>
    <xf numFmtId="0" fontId="3" fillId="3" borderId="9" xfId="0" applyFont="1" applyFill="1" applyBorder="1"/>
    <xf numFmtId="164" fontId="3" fillId="0" borderId="0" xfId="0" applyNumberFormat="1" applyFont="1"/>
    <xf numFmtId="164" fontId="3" fillId="3" borderId="10" xfId="0" applyNumberFormat="1" applyFont="1" applyFill="1" applyBorder="1"/>
    <xf numFmtId="0" fontId="16" fillId="0" borderId="0" xfId="0" applyFont="1" applyFill="1"/>
    <xf numFmtId="42" fontId="3" fillId="0" borderId="0" xfId="0" applyNumberFormat="1" applyFont="1" applyFill="1"/>
    <xf numFmtId="42" fontId="3" fillId="2" borderId="3" xfId="0" applyNumberFormat="1" applyFont="1" applyFill="1" applyBorder="1"/>
    <xf numFmtId="41" fontId="3" fillId="0" borderId="0" xfId="0" applyNumberFormat="1" applyFont="1" applyFill="1"/>
    <xf numFmtId="41" fontId="3" fillId="0" borderId="2" xfId="0" applyNumberFormat="1" applyFont="1" applyFill="1" applyBorder="1"/>
    <xf numFmtId="171" fontId="3" fillId="0" borderId="0" xfId="0" applyNumberFormat="1" applyFont="1" applyFill="1"/>
    <xf numFmtId="171" fontId="3" fillId="3" borderId="3" xfId="0" applyNumberFormat="1" applyFont="1" applyFill="1" applyBorder="1"/>
    <xf numFmtId="172" fontId="3" fillId="0" borderId="2" xfId="0" applyNumberFormat="1" applyFont="1" applyFill="1" applyBorder="1"/>
    <xf numFmtId="22" fontId="4" fillId="0" borderId="0" xfId="0" applyNumberFormat="1" applyFont="1" applyFill="1" applyAlignment="1"/>
    <xf numFmtId="14" fontId="17" fillId="0" borderId="0" xfId="0" quotePrefix="1" applyNumberFormat="1" applyFont="1" applyFill="1" applyAlignment="1">
      <alignment horizontal="center"/>
    </xf>
    <xf numFmtId="0" fontId="3" fillId="0" borderId="0" xfId="0" applyFont="1" applyFill="1" applyAlignment="1">
      <alignment horizontal="right"/>
    </xf>
    <xf numFmtId="10" fontId="3" fillId="0" borderId="0" xfId="0" applyNumberFormat="1" applyFont="1" applyFill="1" applyAlignment="1">
      <alignment horizontal="center" vertical="center" wrapText="1"/>
    </xf>
    <xf numFmtId="2" fontId="3" fillId="0" borderId="0" xfId="0" applyNumberFormat="1" applyFont="1" applyFill="1" applyAlignment="1">
      <alignment horizontal="center" wrapText="1"/>
    </xf>
    <xf numFmtId="0" fontId="3" fillId="0" borderId="0" xfId="0" applyFont="1" applyFill="1" applyAlignment="1">
      <alignment horizontal="center" wrapText="1"/>
    </xf>
    <xf numFmtId="0" fontId="3" fillId="0" borderId="0" xfId="0" applyFont="1" applyFill="1" applyAlignment="1">
      <alignment horizontal="center" vertical="center"/>
    </xf>
    <xf numFmtId="0" fontId="18" fillId="0" borderId="0" xfId="0" applyFont="1" applyBorder="1"/>
    <xf numFmtId="0" fontId="0" fillId="0" borderId="0" xfId="0" applyBorder="1"/>
    <xf numFmtId="169" fontId="3" fillId="3" borderId="23" xfId="1" applyNumberFormat="1" applyFont="1" applyFill="1" applyBorder="1" applyAlignment="1">
      <alignment horizontal="center"/>
    </xf>
    <xf numFmtId="0" fontId="3" fillId="3" borderId="23" xfId="0" applyFont="1" applyFill="1" applyBorder="1" applyAlignment="1">
      <alignment horizontal="center" vertical="center"/>
    </xf>
    <xf numFmtId="0" fontId="3" fillId="3" borderId="23" xfId="0" applyFont="1" applyFill="1" applyBorder="1" applyAlignment="1">
      <alignment horizontal="center"/>
    </xf>
    <xf numFmtId="0" fontId="3" fillId="3" borderId="10" xfId="0" applyFont="1" applyFill="1" applyBorder="1"/>
    <xf numFmtId="0" fontId="3" fillId="3" borderId="9" xfId="0" applyFont="1" applyFill="1" applyBorder="1" applyAlignment="1">
      <alignment horizontal="left"/>
    </xf>
    <xf numFmtId="0" fontId="3" fillId="3" borderId="23" xfId="0" applyFont="1" applyFill="1" applyBorder="1"/>
    <xf numFmtId="0" fontId="3" fillId="0" borderId="24" xfId="0" applyFont="1" applyBorder="1" applyAlignment="1">
      <alignment horizontal="center"/>
    </xf>
    <xf numFmtId="169" fontId="3" fillId="0" borderId="0" xfId="0" applyNumberFormat="1" applyFont="1"/>
    <xf numFmtId="169" fontId="3" fillId="0" borderId="3" xfId="1" applyNumberFormat="1" applyFont="1" applyBorder="1"/>
    <xf numFmtId="0" fontId="3" fillId="3" borderId="23" xfId="0" quotePrefix="1" applyFont="1" applyFill="1" applyBorder="1"/>
    <xf numFmtId="166" fontId="3" fillId="0" borderId="0" xfId="0" applyNumberFormat="1" applyFont="1"/>
    <xf numFmtId="0" fontId="19" fillId="3" borderId="9" xfId="0" applyFont="1" applyFill="1" applyBorder="1"/>
    <xf numFmtId="168" fontId="3" fillId="3" borderId="23" xfId="0" applyNumberFormat="1" applyFont="1" applyFill="1" applyBorder="1" applyAlignment="1">
      <alignment horizontal="center"/>
    </xf>
    <xf numFmtId="0" fontId="12" fillId="3" borderId="23" xfId="0" applyFont="1" applyFill="1" applyBorder="1" applyAlignment="1">
      <alignment horizontal="center"/>
    </xf>
    <xf numFmtId="168" fontId="3" fillId="3" borderId="10" xfId="0" applyNumberFormat="1" applyFont="1" applyFill="1" applyBorder="1" applyAlignment="1">
      <alignment horizontal="center"/>
    </xf>
    <xf numFmtId="164" fontId="3" fillId="3" borderId="23" xfId="0" applyNumberFormat="1" applyFont="1" applyFill="1" applyBorder="1" applyAlignment="1">
      <alignment horizontal="center"/>
    </xf>
    <xf numFmtId="172" fontId="3" fillId="0" borderId="0" xfId="0" applyNumberFormat="1" applyFont="1" applyFill="1" applyBorder="1"/>
    <xf numFmtId="171" fontId="3" fillId="0" borderId="0" xfId="0" applyNumberFormat="1" applyFont="1" applyFill="1" applyBorder="1"/>
    <xf numFmtId="44" fontId="3" fillId="0" borderId="0" xfId="0" applyNumberFormat="1" applyFont="1" applyFill="1"/>
    <xf numFmtId="0" fontId="20" fillId="0" borderId="0" xfId="0" quotePrefix="1" applyFont="1" applyFill="1" applyAlignment="1">
      <alignment horizontal="center"/>
    </xf>
    <xf numFmtId="9" fontId="20" fillId="0" borderId="0" xfId="0" quotePrefix="1" applyNumberFormat="1" applyFont="1" applyFill="1" applyAlignment="1">
      <alignment horizontal="center"/>
    </xf>
    <xf numFmtId="9" fontId="3" fillId="0" borderId="0" xfId="0" quotePrefix="1" applyNumberFormat="1" applyFont="1" applyFill="1" applyAlignment="1">
      <alignment horizontal="center"/>
    </xf>
    <xf numFmtId="167" fontId="3" fillId="0" borderId="0" xfId="0" applyNumberFormat="1" applyFont="1" applyFill="1"/>
    <xf numFmtId="170" fontId="20" fillId="0" borderId="0" xfId="0" applyNumberFormat="1" applyFont="1" applyFill="1" applyAlignment="1">
      <alignment horizontal="center"/>
    </xf>
    <xf numFmtId="8" fontId="3" fillId="0" borderId="0" xfId="0" quotePrefix="1" applyNumberFormat="1" applyFont="1" applyFill="1" applyAlignment="1">
      <alignment horizontal="center"/>
    </xf>
    <xf numFmtId="170" fontId="3" fillId="0" borderId="0" xfId="0" quotePrefix="1" applyNumberFormat="1" applyFont="1" applyFill="1" applyAlignment="1">
      <alignment horizontal="center"/>
    </xf>
    <xf numFmtId="10" fontId="3" fillId="0" borderId="0" xfId="0" applyNumberFormat="1" applyFont="1" applyFill="1"/>
    <xf numFmtId="10" fontId="11" fillId="0" borderId="0" xfId="0" applyNumberFormat="1" applyFont="1" applyFill="1"/>
    <xf numFmtId="0" fontId="12" fillId="0" borderId="0" xfId="0" applyFont="1" applyFill="1" applyAlignment="1">
      <alignment horizontal="left"/>
    </xf>
    <xf numFmtId="0" fontId="12" fillId="0" borderId="0" xfId="0" applyFont="1" applyFill="1" applyBorder="1" applyAlignment="1">
      <alignment horizontal="left"/>
    </xf>
    <xf numFmtId="0" fontId="12" fillId="3" borderId="9" xfId="0" applyFont="1" applyFill="1" applyBorder="1" applyAlignment="1">
      <alignment horizontal="center"/>
    </xf>
    <xf numFmtId="169" fontId="12" fillId="3" borderId="10" xfId="1" applyNumberFormat="1" applyFont="1" applyFill="1" applyBorder="1" applyAlignment="1">
      <alignment horizontal="center" vertical="center"/>
    </xf>
    <xf numFmtId="0" fontId="12" fillId="3" borderId="23" xfId="0" applyFont="1" applyFill="1" applyBorder="1" applyAlignment="1">
      <alignment horizontal="right"/>
    </xf>
    <xf numFmtId="41" fontId="6" fillId="0" borderId="0" xfId="0" applyNumberFormat="1" applyFont="1" applyBorder="1"/>
    <xf numFmtId="42" fontId="6" fillId="0" borderId="12" xfId="0" applyNumberFormat="1" applyFont="1" applyBorder="1"/>
    <xf numFmtId="42" fontId="6" fillId="0" borderId="3" xfId="0" applyNumberFormat="1" applyFont="1" applyBorder="1"/>
    <xf numFmtId="42" fontId="6" fillId="0" borderId="25" xfId="0" applyNumberFormat="1" applyFont="1" applyBorder="1"/>
    <xf numFmtId="42" fontId="6" fillId="0" borderId="20" xfId="0" applyNumberFormat="1" applyFont="1" applyBorder="1"/>
    <xf numFmtId="166" fontId="3" fillId="0" borderId="3" xfId="0" applyNumberFormat="1" applyFont="1" applyBorder="1"/>
    <xf numFmtId="0" fontId="21" fillId="0" borderId="0" xfId="0" applyFont="1"/>
    <xf numFmtId="0" fontId="22" fillId="0" borderId="0" xfId="0" applyFont="1"/>
    <xf numFmtId="0" fontId="0" fillId="0" borderId="1" xfId="0" applyBorder="1" applyAlignment="1">
      <alignment horizontal="center" wrapText="1"/>
    </xf>
    <xf numFmtId="0" fontId="0" fillId="0" borderId="1" xfId="0" applyBorder="1" applyAlignment="1">
      <alignment horizontal="center"/>
    </xf>
    <xf numFmtId="169" fontId="0" fillId="0" borderId="0" xfId="0" applyNumberFormat="1" applyAlignment="1">
      <alignment horizontal="right"/>
    </xf>
    <xf numFmtId="169" fontId="0" fillId="0" borderId="0" xfId="0" applyNumberFormat="1"/>
    <xf numFmtId="3" fontId="0" fillId="0" borderId="0" xfId="0" applyNumberFormat="1"/>
    <xf numFmtId="169" fontId="0" fillId="0" borderId="2" xfId="0" applyNumberFormat="1" applyBorder="1"/>
    <xf numFmtId="3" fontId="0" fillId="0" borderId="2" xfId="0" applyNumberFormat="1" applyBorder="1"/>
    <xf numFmtId="169" fontId="0" fillId="0" borderId="18" xfId="0" applyNumberFormat="1" applyBorder="1"/>
    <xf numFmtId="3" fontId="0" fillId="0" borderId="18" xfId="0" applyNumberFormat="1" applyBorder="1"/>
    <xf numFmtId="9" fontId="23" fillId="0" borderId="0" xfId="0" applyNumberFormat="1" applyFont="1"/>
    <xf numFmtId="169" fontId="0" fillId="0" borderId="3" xfId="0" applyNumberFormat="1" applyBorder="1"/>
    <xf numFmtId="3" fontId="0" fillId="0" borderId="3" xfId="0" applyNumberFormat="1" applyBorder="1"/>
    <xf numFmtId="0" fontId="0" fillId="0" borderId="2" xfId="0" applyBorder="1"/>
    <xf numFmtId="3" fontId="0" fillId="0" borderId="0" xfId="0" applyNumberFormat="1" applyFill="1" applyBorder="1"/>
    <xf numFmtId="0" fontId="0" fillId="0" borderId="0" xfId="0" applyFill="1" applyBorder="1"/>
    <xf numFmtId="169" fontId="0" fillId="0" borderId="0" xfId="0" applyNumberFormat="1" applyFill="1" applyBorder="1"/>
    <xf numFmtId="169" fontId="0" fillId="0" borderId="2" xfId="0" applyNumberFormat="1" applyFill="1" applyBorder="1"/>
    <xf numFmtId="169" fontId="0" fillId="0" borderId="3" xfId="0" applyNumberFormat="1" applyFill="1" applyBorder="1"/>
    <xf numFmtId="0" fontId="0" fillId="0" borderId="2" xfId="0" applyBorder="1" applyAlignment="1">
      <alignment horizontal="center" wrapText="1"/>
    </xf>
    <xf numFmtId="169" fontId="0" fillId="0" borderId="0" xfId="0" applyNumberFormat="1" applyBorder="1"/>
    <xf numFmtId="9" fontId="3" fillId="0" borderId="0" xfId="0" applyNumberFormat="1" applyFont="1" applyFill="1" applyAlignment="1"/>
    <xf numFmtId="9" fontId="20" fillId="0" borderId="0" xfId="0" quotePrefix="1" applyNumberFormat="1" applyFont="1" applyFill="1" applyAlignment="1"/>
    <xf numFmtId="165" fontId="3" fillId="3" borderId="23" xfId="0" applyNumberFormat="1" applyFont="1" applyFill="1" applyBorder="1" applyAlignment="1">
      <alignment horizontal="center"/>
    </xf>
    <xf numFmtId="169" fontId="3" fillId="3" borderId="23" xfId="0" applyNumberFormat="1" applyFont="1" applyFill="1" applyBorder="1" applyAlignment="1">
      <alignment horizontal="center"/>
    </xf>
    <xf numFmtId="2" fontId="3" fillId="3" borderId="23" xfId="0" applyNumberFormat="1" applyFont="1" applyFill="1" applyBorder="1" applyAlignment="1">
      <alignment horizontal="center"/>
    </xf>
    <xf numFmtId="41" fontId="3" fillId="0" borderId="0" xfId="0" applyNumberFormat="1" applyFont="1" applyFill="1" applyBorder="1"/>
    <xf numFmtId="0" fontId="3" fillId="0" borderId="16" xfId="0" quotePrefix="1" applyFont="1" applyFill="1" applyBorder="1"/>
    <xf numFmtId="41" fontId="6" fillId="0" borderId="19" xfId="0" applyNumberFormat="1" applyFont="1" applyBorder="1"/>
    <xf numFmtId="0" fontId="24" fillId="0" borderId="0" xfId="0" applyFont="1"/>
    <xf numFmtId="168" fontId="3" fillId="0" borderId="0" xfId="0" applyNumberFormat="1" applyFont="1" applyFill="1" applyBorder="1"/>
    <xf numFmtId="9" fontId="3" fillId="0" borderId="0" xfId="1" applyFont="1" applyFill="1" applyBorder="1"/>
    <xf numFmtId="0" fontId="3" fillId="0" borderId="0" xfId="0" applyFont="1" applyFill="1" applyBorder="1" applyAlignment="1">
      <alignment horizontal="center"/>
    </xf>
    <xf numFmtId="0" fontId="10" fillId="0" borderId="0" xfId="0" applyFont="1" applyFill="1" applyBorder="1"/>
    <xf numFmtId="168" fontId="25" fillId="0" borderId="0" xfId="0" applyNumberFormat="1" applyFont="1" applyFill="1" applyBorder="1"/>
    <xf numFmtId="10" fontId="25" fillId="0" borderId="0" xfId="0" applyNumberFormat="1" applyFont="1" applyFill="1" applyBorder="1"/>
    <xf numFmtId="0" fontId="3" fillId="0" borderId="0" xfId="0" quotePrefix="1" applyFont="1" applyFill="1" applyBorder="1" applyAlignment="1">
      <alignment horizontal="center"/>
    </xf>
    <xf numFmtId="168" fontId="3" fillId="0" borderId="0" xfId="0" quotePrefix="1" applyNumberFormat="1" applyFont="1" applyFill="1" applyBorder="1"/>
    <xf numFmtId="0" fontId="3" fillId="0" borderId="15" xfId="0" applyFont="1" applyFill="1" applyBorder="1"/>
    <xf numFmtId="10" fontId="3" fillId="0" borderId="17" xfId="0" applyNumberFormat="1" applyFont="1" applyFill="1" applyBorder="1"/>
    <xf numFmtId="0" fontId="3" fillId="4" borderId="9" xfId="0" applyFont="1" applyFill="1" applyBorder="1"/>
    <xf numFmtId="0" fontId="3" fillId="4" borderId="15" xfId="0" applyFont="1" applyFill="1" applyBorder="1"/>
    <xf numFmtId="10" fontId="3" fillId="4" borderId="17" xfId="0" applyNumberFormat="1" applyFont="1" applyFill="1" applyBorder="1"/>
    <xf numFmtId="168" fontId="3" fillId="0" borderId="0" xfId="0" applyNumberFormat="1" applyFont="1" applyFill="1" applyBorder="1" applyAlignment="1">
      <alignment horizontal="center"/>
    </xf>
    <xf numFmtId="0" fontId="3" fillId="0" borderId="0" xfId="0" applyFont="1" applyFill="1" applyBorder="1" applyAlignment="1"/>
    <xf numFmtId="0" fontId="5" fillId="0" borderId="0" xfId="0" applyFont="1" applyFill="1" applyAlignment="1">
      <alignment horizontal="center"/>
    </xf>
    <xf numFmtId="0" fontId="9" fillId="0" borderId="0" xfId="0" applyFont="1" applyFill="1" applyAlignment="1">
      <alignment horizontal="left" vertical="center" wrapText="1"/>
    </xf>
    <xf numFmtId="0" fontId="9" fillId="0" borderId="0" xfId="0" applyFont="1" applyFill="1" applyAlignment="1">
      <alignment horizontal="center"/>
    </xf>
    <xf numFmtId="0" fontId="3" fillId="0" borderId="1" xfId="0" applyFont="1" applyBorder="1" applyAlignment="1">
      <alignment horizontal="center"/>
    </xf>
    <xf numFmtId="0" fontId="3" fillId="0" borderId="0" xfId="0" applyFont="1" applyAlignment="1">
      <alignment horizontal="left" wrapText="1"/>
    </xf>
    <xf numFmtId="0" fontId="3" fillId="0" borderId="0" xfId="0" applyFont="1" applyFill="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colors>
    <mruColors>
      <color rgb="FFFFCC99"/>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Trend Analysis: Allied's</a:t>
            </a:r>
            <a:r>
              <a:rPr lang="en-US" baseline="0"/>
              <a:t> ROE</a:t>
            </a:r>
            <a:endParaRPr lang="en-US"/>
          </a:p>
        </c:rich>
      </c:tx>
      <c:layout/>
      <c:overlay val="0"/>
    </c:title>
    <c:autoTitleDeleted val="0"/>
    <c:plotArea>
      <c:layout/>
      <c:scatterChart>
        <c:scatterStyle val="lineMarker"/>
        <c:varyColors val="0"/>
        <c:ser>
          <c:idx val="0"/>
          <c:order val="0"/>
          <c:xVal>
            <c:numRef>
              <c:f>'04 Chapter model'!$B$110:$B$114</c:f>
              <c:numCache>
                <c:formatCode>General</c:formatCode>
                <c:ptCount val="5"/>
                <c:pt idx="0">
                  <c:v>2011</c:v>
                </c:pt>
                <c:pt idx="1">
                  <c:v>2012</c:v>
                </c:pt>
                <c:pt idx="2">
                  <c:v>2013</c:v>
                </c:pt>
                <c:pt idx="3">
                  <c:v>2014</c:v>
                </c:pt>
                <c:pt idx="4">
                  <c:v>2015</c:v>
                </c:pt>
              </c:numCache>
            </c:numRef>
          </c:xVal>
          <c:yVal>
            <c:numRef>
              <c:f>'04 Chapter model'!$C$110:$C$114</c:f>
              <c:numCache>
                <c:formatCode>0.0%</c:formatCode>
                <c:ptCount val="5"/>
                <c:pt idx="0">
                  <c:v>0.14000000000000001</c:v>
                </c:pt>
                <c:pt idx="1">
                  <c:v>0.161</c:v>
                </c:pt>
                <c:pt idx="2">
                  <c:v>0.14800000000000002</c:v>
                </c:pt>
                <c:pt idx="3">
                  <c:v>0.1384090909090909</c:v>
                </c:pt>
                <c:pt idx="4">
                  <c:v>0.12498138258260823</c:v>
                </c:pt>
              </c:numCache>
            </c:numRef>
          </c:yVal>
          <c:smooth val="0"/>
        </c:ser>
        <c:ser>
          <c:idx val="1"/>
          <c:order val="1"/>
          <c:xVal>
            <c:numRef>
              <c:f>'04 Chapter model'!$B$110:$B$114</c:f>
              <c:numCache>
                <c:formatCode>General</c:formatCode>
                <c:ptCount val="5"/>
                <c:pt idx="0">
                  <c:v>2011</c:v>
                </c:pt>
                <c:pt idx="1">
                  <c:v>2012</c:v>
                </c:pt>
                <c:pt idx="2">
                  <c:v>2013</c:v>
                </c:pt>
                <c:pt idx="3">
                  <c:v>2014</c:v>
                </c:pt>
                <c:pt idx="4">
                  <c:v>2015</c:v>
                </c:pt>
              </c:numCache>
            </c:numRef>
          </c:xVal>
          <c:yVal>
            <c:numRef>
              <c:f>'04 Chapter model'!$D$110:$D$114</c:f>
              <c:numCache>
                <c:formatCode>0.0%</c:formatCode>
                <c:ptCount val="5"/>
                <c:pt idx="0">
                  <c:v>0.13200000000000001</c:v>
                </c:pt>
                <c:pt idx="1">
                  <c:v>0.15</c:v>
                </c:pt>
                <c:pt idx="2">
                  <c:v>0.16</c:v>
                </c:pt>
                <c:pt idx="3">
                  <c:v>0.16200000000000001</c:v>
                </c:pt>
                <c:pt idx="4">
                  <c:v>0.15</c:v>
                </c:pt>
              </c:numCache>
            </c:numRef>
          </c:yVal>
          <c:smooth val="0"/>
        </c:ser>
        <c:dLbls>
          <c:showLegendKey val="0"/>
          <c:showVal val="0"/>
          <c:showCatName val="0"/>
          <c:showSerName val="0"/>
          <c:showPercent val="0"/>
          <c:showBubbleSize val="0"/>
        </c:dLbls>
        <c:axId val="312685424"/>
        <c:axId val="312685816"/>
      </c:scatterChart>
      <c:valAx>
        <c:axId val="312685424"/>
        <c:scaling>
          <c:orientation val="minMax"/>
          <c:max val="2015"/>
          <c:min val="2011"/>
        </c:scaling>
        <c:delete val="0"/>
        <c:axPos val="b"/>
        <c:title>
          <c:tx>
            <c:rich>
              <a:bodyPr/>
              <a:lstStyle/>
              <a:p>
                <a:pPr>
                  <a:defRPr/>
                </a:pPr>
                <a:r>
                  <a:rPr lang="en-US"/>
                  <a:t>Year</a:t>
                </a:r>
              </a:p>
            </c:rich>
          </c:tx>
          <c:layout/>
          <c:overlay val="0"/>
        </c:title>
        <c:numFmt formatCode="General" sourceLinked="1"/>
        <c:majorTickMark val="out"/>
        <c:minorTickMark val="none"/>
        <c:tickLblPos val="nextTo"/>
        <c:crossAx val="312685816"/>
        <c:crosses val="autoZero"/>
        <c:crossBetween val="midCat"/>
        <c:majorUnit val="1"/>
        <c:minorUnit val="1"/>
      </c:valAx>
      <c:valAx>
        <c:axId val="312685816"/>
        <c:scaling>
          <c:orientation val="minMax"/>
          <c:max val="0.18000000000000024"/>
          <c:min val="0.1"/>
        </c:scaling>
        <c:delete val="0"/>
        <c:axPos val="l"/>
        <c:title>
          <c:tx>
            <c:rich>
              <a:bodyPr rot="0" vert="horz"/>
              <a:lstStyle/>
              <a:p>
                <a:pPr>
                  <a:defRPr/>
                </a:pPr>
                <a:r>
                  <a:rPr lang="en-US"/>
                  <a:t>ROE</a:t>
                </a:r>
              </a:p>
            </c:rich>
          </c:tx>
          <c:layout>
            <c:manualLayout>
              <c:xMode val="edge"/>
              <c:yMode val="edge"/>
              <c:x val="0.1106612685560056"/>
              <c:y val="7.6820866141732294E-2"/>
            </c:manualLayout>
          </c:layout>
          <c:overlay val="0"/>
        </c:title>
        <c:numFmt formatCode="0.0%" sourceLinked="1"/>
        <c:majorTickMark val="out"/>
        <c:minorTickMark val="none"/>
        <c:tickLblPos val="nextTo"/>
        <c:crossAx val="312685424"/>
        <c:crosses val="autoZero"/>
        <c:crossBetween val="midCat"/>
      </c:valAx>
      <c:spPr>
        <a:blipFill>
          <a:blip xmlns:r="http://schemas.openxmlformats.org/officeDocument/2006/relationships" r:embed="rId1"/>
          <a:tile tx="0" ty="0" sx="100000" sy="100000" flip="none" algn="tl"/>
        </a:blipFill>
      </c:spPr>
    </c:plotArea>
    <c:plotVisOnly val="1"/>
    <c:dispBlanksAs val="gap"/>
    <c:showDLblsOverMax val="0"/>
  </c:chart>
  <c:printSettings>
    <c:headerFooter/>
    <c:pageMargins b="0.75000000000000244" l="0.70000000000000062" r="0.70000000000000062" t="0.75000000000000244" header="0.30000000000000032" footer="0.30000000000000032"/>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Effect of Leverage</a:t>
            </a:r>
          </a:p>
        </c:rich>
      </c:tx>
      <c:layout>
        <c:manualLayout>
          <c:xMode val="edge"/>
          <c:yMode val="edge"/>
          <c:x val="0.350283375595001"/>
          <c:y val="3.9473684210526355E-2"/>
        </c:manualLayout>
      </c:layout>
      <c:overlay val="0"/>
      <c:spPr>
        <a:noFill/>
        <a:ln w="25400">
          <a:noFill/>
        </a:ln>
      </c:spPr>
    </c:title>
    <c:autoTitleDeleted val="0"/>
    <c:plotArea>
      <c:layout>
        <c:manualLayout>
          <c:layoutTarget val="inner"/>
          <c:xMode val="edge"/>
          <c:yMode val="edge"/>
          <c:x val="0.24576338983986115"/>
          <c:y val="0.25438705449499083"/>
          <c:w val="0.66949337232237993"/>
          <c:h val="0.56579189706644883"/>
        </c:manualLayout>
      </c:layout>
      <c:scatterChart>
        <c:scatterStyle val="smoothMarker"/>
        <c:varyColors val="0"/>
        <c:ser>
          <c:idx val="0"/>
          <c:order val="0"/>
          <c:tx>
            <c:v>Unleveraged</c:v>
          </c:tx>
          <c:spPr>
            <a:ln w="12700">
              <a:solidFill>
                <a:srgbClr val="000080"/>
              </a:solidFill>
              <a:prstDash val="solid"/>
            </a:ln>
          </c:spPr>
          <c:marker>
            <c:symbol val="diamond"/>
            <c:size val="5"/>
            <c:spPr>
              <a:solidFill>
                <a:srgbClr val="000080"/>
              </a:solidFill>
              <a:ln>
                <a:solidFill>
                  <a:srgbClr val="000080"/>
                </a:solidFill>
                <a:prstDash val="solid"/>
              </a:ln>
            </c:spPr>
          </c:marker>
          <c:xVal>
            <c:numRef>
              <c:f>'Financial Leverage'!$B$48:$B$50</c:f>
              <c:numCache>
                <c:formatCode>"$"#,##0.00</c:formatCode>
                <c:ptCount val="3"/>
                <c:pt idx="0">
                  <c:v>150</c:v>
                </c:pt>
                <c:pt idx="1">
                  <c:v>100</c:v>
                </c:pt>
                <c:pt idx="2">
                  <c:v>75</c:v>
                </c:pt>
              </c:numCache>
            </c:numRef>
          </c:xVal>
          <c:yVal>
            <c:numRef>
              <c:f>'Financial Leverage'!$C$48:$C$50</c:f>
              <c:numCache>
                <c:formatCode>0.0%</c:formatCode>
                <c:ptCount val="3"/>
                <c:pt idx="0">
                  <c:v>0.27</c:v>
                </c:pt>
                <c:pt idx="1">
                  <c:v>0.09</c:v>
                </c:pt>
                <c:pt idx="2">
                  <c:v>0</c:v>
                </c:pt>
              </c:numCache>
            </c:numRef>
          </c:yVal>
          <c:smooth val="1"/>
        </c:ser>
        <c:ser>
          <c:idx val="1"/>
          <c:order val="1"/>
          <c:tx>
            <c:v>Leveraged</c:v>
          </c:tx>
          <c:spPr>
            <a:ln w="12700">
              <a:solidFill>
                <a:srgbClr val="FF00FF"/>
              </a:solidFill>
              <a:prstDash val="solid"/>
            </a:ln>
          </c:spPr>
          <c:marker>
            <c:symbol val="square"/>
            <c:size val="5"/>
            <c:spPr>
              <a:solidFill>
                <a:srgbClr val="FF00FF"/>
              </a:solidFill>
              <a:ln>
                <a:solidFill>
                  <a:srgbClr val="FF00FF"/>
                </a:solidFill>
                <a:prstDash val="solid"/>
              </a:ln>
            </c:spPr>
          </c:marker>
          <c:xVal>
            <c:numRef>
              <c:f>'Financial Leverage'!$B$48:$B$50</c:f>
              <c:numCache>
                <c:formatCode>"$"#,##0.00</c:formatCode>
                <c:ptCount val="3"/>
                <c:pt idx="0">
                  <c:v>150</c:v>
                </c:pt>
                <c:pt idx="1">
                  <c:v>100</c:v>
                </c:pt>
                <c:pt idx="2">
                  <c:v>75</c:v>
                </c:pt>
              </c:numCache>
            </c:numRef>
          </c:xVal>
          <c:yVal>
            <c:numRef>
              <c:f>'Financial Leverage'!$D$48:$D$50</c:f>
              <c:numCache>
                <c:formatCode>0.0%</c:formatCode>
                <c:ptCount val="3"/>
                <c:pt idx="0">
                  <c:v>0.48</c:v>
                </c:pt>
                <c:pt idx="1">
                  <c:v>0.12</c:v>
                </c:pt>
                <c:pt idx="2">
                  <c:v>-0.1</c:v>
                </c:pt>
              </c:numCache>
            </c:numRef>
          </c:yVal>
          <c:smooth val="1"/>
        </c:ser>
        <c:dLbls>
          <c:showLegendKey val="0"/>
          <c:showVal val="0"/>
          <c:showCatName val="0"/>
          <c:showSerName val="0"/>
          <c:showPercent val="0"/>
          <c:showBubbleSize val="0"/>
        </c:dLbls>
        <c:axId val="316858352"/>
        <c:axId val="316858744"/>
      </c:scatterChart>
      <c:valAx>
        <c:axId val="316858352"/>
        <c:scaling>
          <c:orientation val="minMax"/>
          <c:max val="150"/>
          <c:min val="50"/>
        </c:scaling>
        <c:delete val="0"/>
        <c:axPos val="b"/>
        <c:title>
          <c:tx>
            <c:rich>
              <a:bodyPr/>
              <a:lstStyle/>
              <a:p>
                <a:pPr>
                  <a:defRPr sz="800" b="1" i="0" u="none" strike="noStrike" baseline="0">
                    <a:solidFill>
                      <a:srgbClr val="000000"/>
                    </a:solidFill>
                    <a:latin typeface="Arial"/>
                    <a:ea typeface="Arial"/>
                    <a:cs typeface="Arial"/>
                  </a:defRPr>
                </a:pPr>
                <a:r>
                  <a:rPr lang="en-US"/>
                  <a:t>SALES</a:t>
                </a:r>
              </a:p>
            </c:rich>
          </c:tx>
          <c:layout>
            <c:manualLayout>
              <c:xMode val="edge"/>
              <c:yMode val="edge"/>
              <c:x val="0.77212954312914495"/>
              <c:y val="0.6739802919371936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16858744"/>
        <c:crosses val="autoZero"/>
        <c:crossBetween val="midCat"/>
        <c:majorUnit val="50"/>
      </c:valAx>
      <c:valAx>
        <c:axId val="316858744"/>
        <c:scaling>
          <c:orientation val="minMax"/>
          <c:max val="0.5"/>
        </c:scaling>
        <c:delete val="0"/>
        <c:axPos val="l"/>
        <c:title>
          <c:tx>
            <c:rich>
              <a:bodyPr rot="0" vert="horz"/>
              <a:lstStyle/>
              <a:p>
                <a:pPr algn="ctr">
                  <a:defRPr sz="800" b="1" i="0" u="none" strike="noStrike" baseline="0">
                    <a:solidFill>
                      <a:srgbClr val="000000"/>
                    </a:solidFill>
                    <a:latin typeface="Arial"/>
                    <a:ea typeface="Arial"/>
                    <a:cs typeface="Arial"/>
                  </a:defRPr>
                </a:pPr>
                <a:r>
                  <a:rPr lang="en-US"/>
                  <a:t>ROE</a:t>
                </a:r>
              </a:p>
            </c:rich>
          </c:tx>
          <c:layout>
            <c:manualLayout>
              <c:xMode val="edge"/>
              <c:yMode val="edge"/>
              <c:x val="0.10075329566855012"/>
              <c:y val="0.1140369295943268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316858352"/>
        <c:crosses val="autoZero"/>
        <c:crossBetween val="midCat"/>
        <c:majorUnit val="0.5"/>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9525</xdr:colOff>
      <xdr:row>114</xdr:row>
      <xdr:rowOff>66675</xdr:rowOff>
    </xdr:from>
    <xdr:to>
      <xdr:col>7</xdr:col>
      <xdr:colOff>695325</xdr:colOff>
      <xdr:row>131</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0.81579</cdr:x>
      <cdr:y>0.56597</cdr:y>
    </cdr:from>
    <cdr:to>
      <cdr:x>0.92713</cdr:x>
      <cdr:y>0.64583</cdr:y>
    </cdr:to>
    <cdr:sp macro="" textlink="">
      <cdr:nvSpPr>
        <cdr:cNvPr id="2" name="TextBox 1"/>
        <cdr:cNvSpPr txBox="1"/>
      </cdr:nvSpPr>
      <cdr:spPr>
        <a:xfrm xmlns:a="http://schemas.openxmlformats.org/drawingml/2006/main">
          <a:off x="3838557" y="1552578"/>
          <a:ext cx="523894" cy="2190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Allied</a:t>
          </a:r>
        </a:p>
        <a:p xmlns:a="http://schemas.openxmlformats.org/drawingml/2006/main">
          <a:endParaRPr lang="en-US" sz="1100"/>
        </a:p>
      </cdr:txBody>
    </cdr:sp>
  </cdr:relSizeAnchor>
  <cdr:relSizeAnchor xmlns:cdr="http://schemas.openxmlformats.org/drawingml/2006/chartDrawing">
    <cdr:from>
      <cdr:x>0.81781</cdr:x>
      <cdr:y>0.28125</cdr:y>
    </cdr:from>
    <cdr:to>
      <cdr:x>0.96154</cdr:x>
      <cdr:y>0.36806</cdr:y>
    </cdr:to>
    <cdr:sp macro="" textlink="">
      <cdr:nvSpPr>
        <cdr:cNvPr id="3" name="TextBox 2"/>
        <cdr:cNvSpPr txBox="1"/>
      </cdr:nvSpPr>
      <cdr:spPr>
        <a:xfrm xmlns:a="http://schemas.openxmlformats.org/drawingml/2006/main">
          <a:off x="3848100" y="771525"/>
          <a:ext cx="67627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Industry</a:t>
          </a: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114300</xdr:colOff>
      <xdr:row>53</xdr:row>
      <xdr:rowOff>47625</xdr:rowOff>
    </xdr:from>
    <xdr:to>
      <xdr:col>6</xdr:col>
      <xdr:colOff>95250</xdr:colOff>
      <xdr:row>66</xdr:row>
      <xdr:rowOff>114300</xdr:rowOff>
    </xdr:to>
    <xdr:graphicFrame macro="">
      <xdr:nvGraphicFramePr>
        <xdr:cNvPr id="51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0.4209</cdr:x>
      <cdr:y>0.32895</cdr:y>
    </cdr:from>
    <cdr:to>
      <cdr:x>0.66384</cdr:x>
      <cdr:y>0.41228</cdr:y>
    </cdr:to>
    <cdr:sp macro="" textlink="">
      <cdr:nvSpPr>
        <cdr:cNvPr id="2" name="TextBox 1"/>
        <cdr:cNvSpPr txBox="1"/>
      </cdr:nvSpPr>
      <cdr:spPr>
        <a:xfrm xmlns:a="http://schemas.openxmlformats.org/drawingml/2006/main">
          <a:off x="1419225" y="714375"/>
          <a:ext cx="819149" cy="180976"/>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FF00FF"/>
              </a:solidFill>
            </a:rPr>
            <a:t>Leveraged</a:t>
          </a:r>
        </a:p>
      </cdr:txBody>
    </cdr:sp>
  </cdr:relSizeAnchor>
  <cdr:relSizeAnchor xmlns:cdr="http://schemas.openxmlformats.org/drawingml/2006/chartDrawing">
    <cdr:from>
      <cdr:x>0.63559</cdr:x>
      <cdr:y>0.42105</cdr:y>
    </cdr:from>
    <cdr:to>
      <cdr:x>0.91243</cdr:x>
      <cdr:y>0.5307</cdr:y>
    </cdr:to>
    <cdr:sp macro="" textlink="">
      <cdr:nvSpPr>
        <cdr:cNvPr id="4" name="TextBox 3"/>
        <cdr:cNvSpPr txBox="1"/>
      </cdr:nvSpPr>
      <cdr:spPr>
        <a:xfrm xmlns:a="http://schemas.openxmlformats.org/drawingml/2006/main">
          <a:off x="2143126" y="914400"/>
          <a:ext cx="933450" cy="2381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100" b="1">
              <a:solidFill>
                <a:srgbClr val="000099"/>
              </a:solidFill>
            </a:rPr>
            <a:t>Unleveraged</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triangl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tabSelected="1" zoomScaleNormal="100" zoomScaleSheetLayoutView="100" workbookViewId="0">
      <selection activeCell="D72" sqref="D72"/>
    </sheetView>
  </sheetViews>
  <sheetFormatPr defaultColWidth="11" defaultRowHeight="12.75" x14ac:dyDescent="0.2"/>
  <cols>
    <col min="1" max="1" width="9.7109375" style="1" customWidth="1"/>
    <col min="2" max="2" width="9.7109375" style="2" customWidth="1"/>
    <col min="3" max="3" width="11.7109375" style="1" customWidth="1"/>
    <col min="4" max="7" width="9.7109375" style="1" customWidth="1"/>
    <col min="8" max="8" width="12.140625" style="1" customWidth="1"/>
    <col min="9" max="9" width="9.7109375" style="1" customWidth="1"/>
    <col min="10" max="16384" width="11" style="1"/>
  </cols>
  <sheetData>
    <row r="1" spans="1:12" x14ac:dyDescent="0.2">
      <c r="A1" s="1" t="s">
        <v>66</v>
      </c>
      <c r="D1" s="115"/>
      <c r="E1" s="115"/>
      <c r="H1" s="116" t="s">
        <v>195</v>
      </c>
    </row>
    <row r="2" spans="1:12" x14ac:dyDescent="0.2">
      <c r="J2" s="3"/>
    </row>
    <row r="3" spans="1:12" s="4" customFormat="1" ht="15.75" x14ac:dyDescent="0.25">
      <c r="A3" s="209" t="s">
        <v>81</v>
      </c>
      <c r="B3" s="209"/>
      <c r="C3" s="209"/>
      <c r="D3" s="209"/>
      <c r="E3" s="209"/>
      <c r="F3" s="209"/>
      <c r="G3" s="209"/>
      <c r="H3" s="209"/>
      <c r="J3" s="3"/>
    </row>
    <row r="4" spans="1:12" s="4" customFormat="1" x14ac:dyDescent="0.2">
      <c r="A4" s="5"/>
      <c r="B4" s="6"/>
      <c r="J4" s="3"/>
      <c r="K4" s="1"/>
      <c r="L4" s="1"/>
    </row>
    <row r="5" spans="1:12" x14ac:dyDescent="0.2">
      <c r="A5" s="8"/>
      <c r="F5" s="9"/>
    </row>
    <row r="6" spans="1:12" ht="69" customHeight="1" x14ac:dyDescent="0.2">
      <c r="A6" s="210" t="s">
        <v>107</v>
      </c>
      <c r="B6" s="210"/>
      <c r="C6" s="210"/>
      <c r="D6" s="210"/>
      <c r="E6" s="210"/>
      <c r="F6" s="210"/>
      <c r="G6" s="210"/>
      <c r="H6" s="210"/>
      <c r="I6" s="210"/>
    </row>
    <row r="7" spans="1:12" x14ac:dyDescent="0.2">
      <c r="A7" s="8"/>
      <c r="F7" s="9"/>
    </row>
    <row r="8" spans="1:12" x14ac:dyDescent="0.2">
      <c r="A8" s="7" t="s">
        <v>26</v>
      </c>
      <c r="B8" s="12"/>
      <c r="C8" s="13"/>
      <c r="D8" s="13"/>
      <c r="E8" s="13"/>
      <c r="F8" s="13"/>
      <c r="G8" s="13"/>
      <c r="J8" s="10"/>
      <c r="K8" s="11"/>
    </row>
    <row r="9" spans="1:12" x14ac:dyDescent="0.2">
      <c r="A9" s="4"/>
      <c r="B9" s="12"/>
      <c r="C9" s="13"/>
      <c r="D9" s="13"/>
      <c r="E9" s="13"/>
      <c r="F9" s="13"/>
      <c r="G9" s="13"/>
      <c r="J9" s="10"/>
      <c r="K9" s="11"/>
    </row>
    <row r="10" spans="1:12" ht="13.5" thickBot="1" x14ac:dyDescent="0.25">
      <c r="B10" s="14"/>
      <c r="C10" s="15"/>
      <c r="D10" s="16">
        <v>2015</v>
      </c>
      <c r="E10" s="16">
        <f>D10-1</f>
        <v>2014</v>
      </c>
      <c r="I10" s="10"/>
      <c r="J10" s="10"/>
      <c r="K10" s="11"/>
    </row>
    <row r="11" spans="1:12" x14ac:dyDescent="0.2">
      <c r="A11" s="1" t="s">
        <v>30</v>
      </c>
      <c r="D11" s="17">
        <v>23.06</v>
      </c>
      <c r="E11" s="17">
        <v>26</v>
      </c>
      <c r="I11" s="10"/>
    </row>
    <row r="12" spans="1:12" x14ac:dyDescent="0.2">
      <c r="A12" s="1" t="s">
        <v>29</v>
      </c>
      <c r="D12" s="18">
        <v>50</v>
      </c>
      <c r="E12" s="18">
        <v>50</v>
      </c>
      <c r="I12" s="10"/>
    </row>
    <row r="13" spans="1:12" x14ac:dyDescent="0.2">
      <c r="A13" s="1" t="s">
        <v>24</v>
      </c>
      <c r="D13" s="19">
        <v>0.4</v>
      </c>
      <c r="E13" s="19">
        <v>0.4</v>
      </c>
      <c r="I13" s="20"/>
    </row>
    <row r="14" spans="1:12" x14ac:dyDescent="0.2">
      <c r="I14" s="20"/>
    </row>
    <row r="15" spans="1:12" x14ac:dyDescent="0.2">
      <c r="A15" s="7" t="s">
        <v>31</v>
      </c>
      <c r="C15" s="21"/>
      <c r="D15" s="21"/>
      <c r="E15" s="21"/>
    </row>
    <row r="16" spans="1:12" x14ac:dyDescent="0.2">
      <c r="A16" s="1" t="s">
        <v>0</v>
      </c>
      <c r="C16" s="21"/>
      <c r="D16" s="21"/>
      <c r="E16" s="21"/>
    </row>
    <row r="17" spans="1:9" x14ac:dyDescent="0.2">
      <c r="C17" s="21"/>
      <c r="D17" s="21"/>
      <c r="E17" s="21"/>
      <c r="G17" s="211" t="s">
        <v>33</v>
      </c>
      <c r="H17" s="211"/>
    </row>
    <row r="18" spans="1:9" ht="13.5" thickBot="1" x14ac:dyDescent="0.25">
      <c r="A18" s="2"/>
      <c r="C18" s="2"/>
      <c r="D18" s="16">
        <f>$D$10</f>
        <v>2015</v>
      </c>
      <c r="E18" s="16">
        <f>$E$10</f>
        <v>2014</v>
      </c>
      <c r="G18" s="16">
        <f>$D$10</f>
        <v>2015</v>
      </c>
      <c r="H18" s="16">
        <f>$E$10</f>
        <v>2014</v>
      </c>
    </row>
    <row r="19" spans="1:9" x14ac:dyDescent="0.2">
      <c r="A19" s="13" t="s">
        <v>9</v>
      </c>
      <c r="D19" s="2"/>
      <c r="E19" s="21"/>
      <c r="G19" s="2"/>
      <c r="H19" s="21"/>
    </row>
    <row r="20" spans="1:9" x14ac:dyDescent="0.2">
      <c r="A20" s="1" t="s">
        <v>82</v>
      </c>
      <c r="D20" s="108">
        <v>10</v>
      </c>
      <c r="E20" s="108">
        <v>80</v>
      </c>
      <c r="G20" s="39">
        <f t="shared" ref="G20:G26" si="0">D20/$D$26</f>
        <v>5.0000000000000001E-3</v>
      </c>
      <c r="H20" s="39">
        <f t="shared" ref="H20:H26" si="1">E20/$E$26</f>
        <v>4.7619047619047616E-2</v>
      </c>
    </row>
    <row r="21" spans="1:9" x14ac:dyDescent="0.2">
      <c r="A21" s="1" t="s">
        <v>10</v>
      </c>
      <c r="D21" s="110">
        <v>375</v>
      </c>
      <c r="E21" s="110">
        <v>315</v>
      </c>
      <c r="G21" s="39">
        <f t="shared" si="0"/>
        <v>0.1875</v>
      </c>
      <c r="H21" s="39">
        <f t="shared" si="1"/>
        <v>0.1875</v>
      </c>
    </row>
    <row r="22" spans="1:9" x14ac:dyDescent="0.2">
      <c r="A22" s="1" t="s">
        <v>11</v>
      </c>
      <c r="D22" s="111">
        <v>615</v>
      </c>
      <c r="E22" s="111">
        <v>415</v>
      </c>
      <c r="G22" s="40">
        <f t="shared" si="0"/>
        <v>0.3075</v>
      </c>
      <c r="H22" s="40">
        <f t="shared" si="1"/>
        <v>0.24702380952380953</v>
      </c>
    </row>
    <row r="23" spans="1:9" x14ac:dyDescent="0.2">
      <c r="A23" s="1" t="s">
        <v>12</v>
      </c>
      <c r="D23" s="108">
        <f>SUM(D20:D22)</f>
        <v>1000</v>
      </c>
      <c r="E23" s="108">
        <f>SUM(E20:E22)</f>
        <v>810</v>
      </c>
      <c r="G23" s="39">
        <f t="shared" si="0"/>
        <v>0.5</v>
      </c>
      <c r="H23" s="39">
        <f t="shared" si="1"/>
        <v>0.48214285714285715</v>
      </c>
    </row>
    <row r="24" spans="1:9" x14ac:dyDescent="0.2">
      <c r="A24" s="1" t="s">
        <v>13</v>
      </c>
      <c r="D24" s="110">
        <v>1000</v>
      </c>
      <c r="E24" s="110">
        <v>870</v>
      </c>
      <c r="G24" s="39">
        <f t="shared" si="0"/>
        <v>0.5</v>
      </c>
      <c r="H24" s="39">
        <f t="shared" si="1"/>
        <v>0.5178571428571429</v>
      </c>
    </row>
    <row r="25" spans="1:9" x14ac:dyDescent="0.2">
      <c r="A25" s="1" t="s">
        <v>150</v>
      </c>
      <c r="D25" s="110">
        <v>0</v>
      </c>
      <c r="E25" s="110">
        <v>0</v>
      </c>
      <c r="G25" s="39">
        <f t="shared" si="0"/>
        <v>0</v>
      </c>
      <c r="H25" s="39">
        <f t="shared" si="1"/>
        <v>0</v>
      </c>
    </row>
    <row r="26" spans="1:9" ht="13.5" thickBot="1" x14ac:dyDescent="0.25">
      <c r="A26" s="23" t="s">
        <v>14</v>
      </c>
      <c r="B26" s="24"/>
      <c r="C26" s="23"/>
      <c r="D26" s="109">
        <f>SUM(D23:D25)</f>
        <v>2000</v>
      </c>
      <c r="E26" s="109">
        <f>SUM(E23:E25)</f>
        <v>1680</v>
      </c>
      <c r="G26" s="41">
        <f t="shared" si="0"/>
        <v>1</v>
      </c>
      <c r="H26" s="41">
        <f t="shared" si="1"/>
        <v>1</v>
      </c>
    </row>
    <row r="27" spans="1:9" ht="13.5" thickTop="1" x14ac:dyDescent="0.2">
      <c r="D27" s="22"/>
      <c r="E27" s="22"/>
      <c r="G27" s="22"/>
      <c r="H27" s="22"/>
    </row>
    <row r="28" spans="1:9" x14ac:dyDescent="0.2">
      <c r="A28" s="13" t="s">
        <v>15</v>
      </c>
      <c r="D28" s="22"/>
      <c r="E28" s="22"/>
      <c r="G28" s="22"/>
      <c r="H28" s="22"/>
    </row>
    <row r="29" spans="1:9" x14ac:dyDescent="0.2">
      <c r="A29" s="1" t="s">
        <v>16</v>
      </c>
      <c r="D29" s="108">
        <v>60</v>
      </c>
      <c r="E29" s="108">
        <v>30</v>
      </c>
      <c r="G29" s="39">
        <f t="shared" ref="G29:G38" si="2">D29/$D$38</f>
        <v>3.0000300003000031E-2</v>
      </c>
      <c r="H29" s="39">
        <f t="shared" ref="H29:H38" si="3">E29/$E$38</f>
        <v>1.7857142857142856E-2</v>
      </c>
      <c r="I29" s="3"/>
    </row>
    <row r="30" spans="1:9" x14ac:dyDescent="0.2">
      <c r="A30" s="1" t="s">
        <v>18</v>
      </c>
      <c r="D30" s="190">
        <v>140</v>
      </c>
      <c r="E30" s="190">
        <v>130</v>
      </c>
      <c r="G30" s="42">
        <f t="shared" si="2"/>
        <v>7.0000700007000066E-2</v>
      </c>
      <c r="H30" s="42">
        <f t="shared" si="3"/>
        <v>7.7380952380952384E-2</v>
      </c>
      <c r="I30" s="3"/>
    </row>
    <row r="31" spans="1:9" x14ac:dyDescent="0.2">
      <c r="A31" s="1" t="s">
        <v>17</v>
      </c>
      <c r="D31" s="111">
        <v>110</v>
      </c>
      <c r="E31" s="111">
        <v>60</v>
      </c>
      <c r="G31" s="40">
        <f t="shared" si="2"/>
        <v>5.5000550005500054E-2</v>
      </c>
      <c r="H31" s="40">
        <f t="shared" si="3"/>
        <v>3.5714285714285712E-2</v>
      </c>
      <c r="I31" s="3"/>
    </row>
    <row r="32" spans="1:9" x14ac:dyDescent="0.2">
      <c r="A32" s="1" t="s">
        <v>19</v>
      </c>
      <c r="D32" s="108">
        <f>SUM(D29:D31)</f>
        <v>310</v>
      </c>
      <c r="E32" s="108">
        <f>SUM(E29:E31)</f>
        <v>220</v>
      </c>
      <c r="G32" s="39">
        <f t="shared" si="2"/>
        <v>0.15500155001550014</v>
      </c>
      <c r="H32" s="39">
        <f t="shared" si="3"/>
        <v>0.13095238095238096</v>
      </c>
      <c r="I32" s="3"/>
    </row>
    <row r="33" spans="1:10" x14ac:dyDescent="0.2">
      <c r="A33" s="1" t="s">
        <v>20</v>
      </c>
      <c r="D33" s="111">
        <v>750</v>
      </c>
      <c r="E33" s="111">
        <v>580</v>
      </c>
      <c r="G33" s="40">
        <f t="shared" si="2"/>
        <v>0.37500375003750036</v>
      </c>
      <c r="H33" s="40">
        <f t="shared" si="3"/>
        <v>0.34523809523809523</v>
      </c>
      <c r="I33" s="3"/>
    </row>
    <row r="34" spans="1:10" x14ac:dyDescent="0.2">
      <c r="A34" s="1" t="s">
        <v>168</v>
      </c>
      <c r="D34" s="108">
        <f>SUM(D32:D33)</f>
        <v>1060</v>
      </c>
      <c r="E34" s="108">
        <f>SUM(E32:E33)</f>
        <v>800</v>
      </c>
      <c r="G34" s="39">
        <f t="shared" si="2"/>
        <v>0.53000530005300051</v>
      </c>
      <c r="H34" s="39">
        <f t="shared" si="3"/>
        <v>0.47619047619047616</v>
      </c>
    </row>
    <row r="35" spans="1:10" x14ac:dyDescent="0.2">
      <c r="A35" s="1" t="s">
        <v>67</v>
      </c>
      <c r="D35" s="110">
        <v>130</v>
      </c>
      <c r="E35" s="110">
        <v>130</v>
      </c>
      <c r="G35" s="42">
        <f t="shared" si="2"/>
        <v>6.5000650006500058E-2</v>
      </c>
      <c r="H35" s="42">
        <f t="shared" si="3"/>
        <v>7.7380952380952384E-2</v>
      </c>
    </row>
    <row r="36" spans="1:10" x14ac:dyDescent="0.2">
      <c r="A36" s="1" t="s">
        <v>21</v>
      </c>
      <c r="D36" s="111">
        <f>E36+D54</f>
        <v>809.98000000000013</v>
      </c>
      <c r="E36" s="111">
        <v>750</v>
      </c>
      <c r="G36" s="40">
        <f t="shared" si="2"/>
        <v>0.40499404994049948</v>
      </c>
      <c r="H36" s="40">
        <f t="shared" si="3"/>
        <v>0.44642857142857145</v>
      </c>
    </row>
    <row r="37" spans="1:10" x14ac:dyDescent="0.2">
      <c r="A37" s="1" t="s">
        <v>22</v>
      </c>
      <c r="D37" s="108">
        <f>SUM(D35:D36)</f>
        <v>939.98000000000013</v>
      </c>
      <c r="E37" s="108">
        <f>SUM(E35:E36)</f>
        <v>880</v>
      </c>
      <c r="G37" s="39">
        <f t="shared" si="2"/>
        <v>0.46999469994699955</v>
      </c>
      <c r="H37" s="39">
        <f t="shared" si="3"/>
        <v>0.52380952380952384</v>
      </c>
    </row>
    <row r="38" spans="1:10" s="2" customFormat="1" ht="13.5" thickBot="1" x14ac:dyDescent="0.25">
      <c r="A38" s="23" t="s">
        <v>23</v>
      </c>
      <c r="B38" s="24"/>
      <c r="C38" s="23"/>
      <c r="D38" s="109">
        <f>SUM(D34,D37)</f>
        <v>1999.98</v>
      </c>
      <c r="E38" s="109">
        <f>SUM(E34,E37)</f>
        <v>1680</v>
      </c>
      <c r="G38" s="41">
        <f t="shared" si="2"/>
        <v>1</v>
      </c>
      <c r="H38" s="41">
        <f t="shared" si="3"/>
        <v>1</v>
      </c>
    </row>
    <row r="39" spans="1:10" ht="13.5" thickTop="1" x14ac:dyDescent="0.2"/>
    <row r="40" spans="1:10" x14ac:dyDescent="0.2">
      <c r="A40" s="7" t="s">
        <v>27</v>
      </c>
      <c r="B40" s="12"/>
      <c r="C40" s="25"/>
      <c r="D40" s="25"/>
      <c r="E40" s="25"/>
      <c r="F40" s="13"/>
      <c r="G40" s="13"/>
      <c r="H40" s="13"/>
      <c r="I40" s="13"/>
      <c r="J40" s="13"/>
    </row>
    <row r="41" spans="1:10" x14ac:dyDescent="0.2">
      <c r="A41" s="1" t="s">
        <v>0</v>
      </c>
      <c r="C41" s="26"/>
      <c r="D41" s="26"/>
      <c r="E41" s="26"/>
    </row>
    <row r="42" spans="1:10" x14ac:dyDescent="0.2">
      <c r="C42" s="26"/>
      <c r="D42" s="26"/>
      <c r="E42" s="26"/>
      <c r="G42" s="211" t="s">
        <v>33</v>
      </c>
      <c r="H42" s="211"/>
    </row>
    <row r="43" spans="1:10" ht="13.5" thickBot="1" x14ac:dyDescent="0.25">
      <c r="D43" s="16">
        <f>$D$10</f>
        <v>2015</v>
      </c>
      <c r="E43" s="16">
        <f>$E$10</f>
        <v>2014</v>
      </c>
      <c r="G43" s="16">
        <f>$D$10</f>
        <v>2015</v>
      </c>
      <c r="H43" s="16">
        <f>$E$10</f>
        <v>2014</v>
      </c>
    </row>
    <row r="44" spans="1:10" x14ac:dyDescent="0.2">
      <c r="A44" s="1" t="s">
        <v>1</v>
      </c>
      <c r="D44" s="112">
        <v>3000</v>
      </c>
      <c r="E44" s="112">
        <v>2850</v>
      </c>
      <c r="G44" s="39">
        <f t="shared" ref="G44:G51" si="4">D44/$D$44</f>
        <v>1</v>
      </c>
      <c r="H44" s="39">
        <f t="shared" ref="H44:H51" si="5">E44/$E$44</f>
        <v>1</v>
      </c>
    </row>
    <row r="45" spans="1:10" x14ac:dyDescent="0.2">
      <c r="A45" s="1" t="s">
        <v>151</v>
      </c>
      <c r="D45" s="140">
        <v>2616.1999999999998</v>
      </c>
      <c r="E45" s="140">
        <v>2497</v>
      </c>
      <c r="G45" s="42">
        <f t="shared" si="4"/>
        <v>0.87206666666666666</v>
      </c>
      <c r="H45" s="42">
        <f t="shared" si="5"/>
        <v>0.876140350877193</v>
      </c>
    </row>
    <row r="46" spans="1:10" x14ac:dyDescent="0.2">
      <c r="A46" s="1" t="s">
        <v>152</v>
      </c>
      <c r="D46" s="114">
        <v>100</v>
      </c>
      <c r="E46" s="114">
        <v>90</v>
      </c>
      <c r="G46" s="40">
        <f t="shared" si="4"/>
        <v>3.3333333333333333E-2</v>
      </c>
      <c r="H46" s="40">
        <f t="shared" si="5"/>
        <v>3.1578947368421054E-2</v>
      </c>
    </row>
    <row r="47" spans="1:10" x14ac:dyDescent="0.2">
      <c r="A47" s="1" t="s">
        <v>32</v>
      </c>
      <c r="D47" s="112">
        <f>D44-(D45+D46)</f>
        <v>283.80000000000018</v>
      </c>
      <c r="E47" s="112">
        <f>E44-(E45+E46)</f>
        <v>263</v>
      </c>
      <c r="G47" s="39">
        <f t="shared" si="4"/>
        <v>9.4600000000000059E-2</v>
      </c>
      <c r="H47" s="39">
        <f t="shared" si="5"/>
        <v>9.2280701754385963E-2</v>
      </c>
    </row>
    <row r="48" spans="1:10" x14ac:dyDescent="0.2">
      <c r="A48" s="1" t="s">
        <v>2</v>
      </c>
      <c r="B48" s="1"/>
      <c r="D48" s="114">
        <v>88</v>
      </c>
      <c r="E48" s="114">
        <v>60</v>
      </c>
      <c r="G48" s="40">
        <f t="shared" si="4"/>
        <v>2.9333333333333333E-2</v>
      </c>
      <c r="H48" s="40">
        <f t="shared" si="5"/>
        <v>2.1052631578947368E-2</v>
      </c>
    </row>
    <row r="49" spans="1:10" x14ac:dyDescent="0.2">
      <c r="A49" s="1" t="s">
        <v>3</v>
      </c>
      <c r="D49" s="112">
        <f>D47-D48</f>
        <v>195.80000000000018</v>
      </c>
      <c r="E49" s="112">
        <f>E47-E48</f>
        <v>203</v>
      </c>
      <c r="G49" s="39">
        <f t="shared" si="4"/>
        <v>6.5266666666666723E-2</v>
      </c>
      <c r="H49" s="39">
        <f t="shared" si="5"/>
        <v>7.1228070175438599E-2</v>
      </c>
    </row>
    <row r="50" spans="1:10" x14ac:dyDescent="0.2">
      <c r="A50" s="1" t="s">
        <v>25</v>
      </c>
      <c r="B50" s="27"/>
      <c r="D50" s="114">
        <f>D49*D13</f>
        <v>78.320000000000078</v>
      </c>
      <c r="E50" s="114">
        <f>E49*E13</f>
        <v>81.2</v>
      </c>
      <c r="G50" s="39">
        <f t="shared" si="4"/>
        <v>2.6106666666666691E-2</v>
      </c>
      <c r="H50" s="39">
        <f t="shared" si="5"/>
        <v>2.8491228070175439E-2</v>
      </c>
    </row>
    <row r="51" spans="1:10" ht="13.5" thickBot="1" x14ac:dyDescent="0.25">
      <c r="A51" s="28" t="s">
        <v>153</v>
      </c>
      <c r="B51" s="29"/>
      <c r="C51" s="28"/>
      <c r="D51" s="113">
        <f>D49-D50</f>
        <v>117.4800000000001</v>
      </c>
      <c r="E51" s="113">
        <f>E49-E50</f>
        <v>121.8</v>
      </c>
      <c r="G51" s="43">
        <f t="shared" si="4"/>
        <v>3.9160000000000035E-2</v>
      </c>
      <c r="H51" s="43">
        <f t="shared" si="5"/>
        <v>4.2736842105263156E-2</v>
      </c>
    </row>
    <row r="52" spans="1:10" ht="13.5" thickTop="1" x14ac:dyDescent="0.2">
      <c r="D52" s="30"/>
      <c r="E52" s="30"/>
      <c r="G52" s="39"/>
      <c r="H52" s="39"/>
    </row>
    <row r="53" spans="1:10" x14ac:dyDescent="0.2">
      <c r="A53" s="3" t="s">
        <v>4</v>
      </c>
      <c r="D53" s="141">
        <v>57.5</v>
      </c>
      <c r="E53" s="141">
        <v>53</v>
      </c>
      <c r="G53" s="39">
        <f>D53/$D$44</f>
        <v>1.9166666666666665E-2</v>
      </c>
      <c r="H53" s="39">
        <f>E53/$E$44</f>
        <v>1.8596491228070177E-2</v>
      </c>
    </row>
    <row r="54" spans="1:10" x14ac:dyDescent="0.2">
      <c r="A54" s="1" t="s">
        <v>5</v>
      </c>
      <c r="D54" s="141">
        <f>D51-D53</f>
        <v>59.980000000000103</v>
      </c>
      <c r="E54" s="141">
        <f>E51-E53</f>
        <v>68.8</v>
      </c>
      <c r="G54" s="39">
        <f>D54/$D$44</f>
        <v>1.9993333333333366E-2</v>
      </c>
      <c r="H54" s="39">
        <f>E54/$E$44</f>
        <v>2.4140350877192983E-2</v>
      </c>
    </row>
    <row r="56" spans="1:10" s="13" customFormat="1" x14ac:dyDescent="0.2">
      <c r="A56" s="7" t="s">
        <v>28</v>
      </c>
      <c r="B56" s="2"/>
      <c r="C56" s="1"/>
      <c r="D56" s="1"/>
      <c r="E56" s="1"/>
      <c r="F56" s="1"/>
      <c r="G56" s="1"/>
      <c r="H56" s="1"/>
    </row>
    <row r="57" spans="1:10" ht="13.5" thickBot="1" x14ac:dyDescent="0.25">
      <c r="D57" s="16">
        <f>$D$10</f>
        <v>2015</v>
      </c>
      <c r="E57" s="16">
        <f>$E$10</f>
        <v>2014</v>
      </c>
    </row>
    <row r="58" spans="1:10" x14ac:dyDescent="0.2">
      <c r="A58" s="1" t="s">
        <v>6</v>
      </c>
      <c r="D58" s="142">
        <f>D51/D12</f>
        <v>2.3496000000000019</v>
      </c>
      <c r="E58" s="142">
        <f>E51/E12</f>
        <v>2.4359999999999999</v>
      </c>
    </row>
    <row r="59" spans="1:10" x14ac:dyDescent="0.2">
      <c r="A59" s="1" t="s">
        <v>7</v>
      </c>
      <c r="D59" s="142">
        <f>D53/D12</f>
        <v>1.1499999999999999</v>
      </c>
      <c r="E59" s="142">
        <f>E53/E12</f>
        <v>1.06</v>
      </c>
      <c r="J59" s="3"/>
    </row>
    <row r="60" spans="1:10" x14ac:dyDescent="0.2">
      <c r="A60" s="1" t="s">
        <v>8</v>
      </c>
      <c r="D60" s="142">
        <f>D37/D12</f>
        <v>18.799600000000002</v>
      </c>
      <c r="E60" s="142">
        <f>E37/E12</f>
        <v>17.600000000000001</v>
      </c>
      <c r="J60" s="3"/>
    </row>
    <row r="61" spans="1:10" x14ac:dyDescent="0.2">
      <c r="E61" s="32"/>
      <c r="F61" s="32"/>
      <c r="G61" s="33"/>
      <c r="J61" s="3"/>
    </row>
    <row r="62" spans="1:10" x14ac:dyDescent="0.2">
      <c r="A62" s="7" t="s">
        <v>190</v>
      </c>
    </row>
    <row r="63" spans="1:10" x14ac:dyDescent="0.2">
      <c r="A63" s="117" t="s">
        <v>111</v>
      </c>
      <c r="B63" s="15" t="s">
        <v>108</v>
      </c>
      <c r="C63" s="143" t="s">
        <v>112</v>
      </c>
      <c r="D63" s="144" t="s">
        <v>109</v>
      </c>
      <c r="E63" s="145" t="s">
        <v>154</v>
      </c>
      <c r="F63" s="185" t="s">
        <v>155</v>
      </c>
      <c r="G63" s="186"/>
      <c r="H63" s="144"/>
    </row>
    <row r="64" spans="1:10" x14ac:dyDescent="0.2">
      <c r="A64" s="117" t="s">
        <v>111</v>
      </c>
      <c r="B64" s="34">
        <f>D47*(1-D13)</f>
        <v>170.28000000000011</v>
      </c>
      <c r="C64" s="148" t="s">
        <v>113</v>
      </c>
      <c r="D64" s="149" t="s">
        <v>114</v>
      </c>
      <c r="E64" s="31" t="s">
        <v>156</v>
      </c>
      <c r="F64" s="185" t="s">
        <v>155</v>
      </c>
      <c r="G64" s="146"/>
      <c r="H64" s="146"/>
    </row>
    <row r="65" spans="1:9" x14ac:dyDescent="0.2">
      <c r="A65" s="117" t="s">
        <v>111</v>
      </c>
      <c r="B65" s="34">
        <f>D47*(1-D13)+D46</f>
        <v>270.28000000000009</v>
      </c>
      <c r="C65" s="147" t="s">
        <v>110</v>
      </c>
      <c r="D65" s="34">
        <f>(D24-E24+D46) +(D23-E23)-(D32-E32-(D31-E31))</f>
        <v>380</v>
      </c>
      <c r="G65" s="108"/>
      <c r="H65" s="108"/>
    </row>
    <row r="66" spans="1:9" x14ac:dyDescent="0.2">
      <c r="A66" s="117" t="s">
        <v>111</v>
      </c>
      <c r="B66" s="34">
        <f>B65-D65</f>
        <v>-109.71999999999991</v>
      </c>
      <c r="C66" s="117"/>
    </row>
    <row r="67" spans="1:9" x14ac:dyDescent="0.2">
      <c r="A67" s="8"/>
      <c r="D67" s="34"/>
    </row>
    <row r="68" spans="1:9" ht="15" x14ac:dyDescent="0.25">
      <c r="A68" s="107" t="s">
        <v>115</v>
      </c>
      <c r="B68" s="6"/>
      <c r="C68" s="4"/>
      <c r="D68" s="4"/>
      <c r="E68" s="4"/>
      <c r="F68" s="4"/>
      <c r="G68" s="4"/>
      <c r="H68" s="4"/>
    </row>
    <row r="69" spans="1:9" ht="30" customHeight="1" x14ac:dyDescent="0.2">
      <c r="A69" s="210" t="s">
        <v>191</v>
      </c>
      <c r="B69" s="210"/>
      <c r="C69" s="210"/>
      <c r="D69" s="210"/>
      <c r="E69" s="210"/>
      <c r="F69" s="210"/>
      <c r="G69" s="210"/>
      <c r="H69" s="210"/>
      <c r="I69" s="210"/>
    </row>
    <row r="71" spans="1:9" ht="13.5" thickBot="1" x14ac:dyDescent="0.25">
      <c r="A71" s="45" t="s">
        <v>34</v>
      </c>
      <c r="D71" s="16">
        <f>$D$10</f>
        <v>2015</v>
      </c>
      <c r="E71" s="16">
        <f>$E$10</f>
        <v>2014</v>
      </c>
      <c r="F71" s="47" t="s">
        <v>47</v>
      </c>
    </row>
    <row r="72" spans="1:9" x14ac:dyDescent="0.2">
      <c r="A72" s="44" t="s">
        <v>40</v>
      </c>
      <c r="D72" s="46">
        <f>D23/D32</f>
        <v>3.225806451612903</v>
      </c>
      <c r="E72" s="46">
        <f>E23/E32</f>
        <v>3.6818181818181817</v>
      </c>
      <c r="F72" s="48">
        <v>4.2</v>
      </c>
    </row>
    <row r="73" spans="1:9" x14ac:dyDescent="0.2">
      <c r="A73" s="44" t="s">
        <v>39</v>
      </c>
      <c r="D73" s="46">
        <f>(D23-D22)/D32</f>
        <v>1.2419354838709677</v>
      </c>
      <c r="E73" s="46">
        <f>(E23-E22)/E32</f>
        <v>1.7954545454545454</v>
      </c>
      <c r="F73" s="48">
        <v>2.2000000000000002</v>
      </c>
    </row>
    <row r="74" spans="1:9" x14ac:dyDescent="0.2">
      <c r="A74" s="45" t="s">
        <v>35</v>
      </c>
      <c r="F74" s="48"/>
    </row>
    <row r="75" spans="1:9" x14ac:dyDescent="0.2">
      <c r="A75" s="44" t="s">
        <v>41</v>
      </c>
      <c r="D75" s="46">
        <f>D44/D22</f>
        <v>4.8780487804878048</v>
      </c>
      <c r="E75" s="46">
        <f>E44/E22</f>
        <v>6.8674698795180724</v>
      </c>
      <c r="F75" s="48">
        <v>10.9</v>
      </c>
      <c r="G75" s="35"/>
    </row>
    <row r="76" spans="1:9" x14ac:dyDescent="0.2">
      <c r="A76" s="44" t="s">
        <v>42</v>
      </c>
      <c r="D76" s="46">
        <f>D21/(D44/365)</f>
        <v>45.624999999999993</v>
      </c>
      <c r="E76" s="46">
        <f>E21/(E44/365)</f>
        <v>40.342105263157897</v>
      </c>
      <c r="F76" s="48">
        <v>36</v>
      </c>
      <c r="G76" s="35"/>
    </row>
    <row r="77" spans="1:9" x14ac:dyDescent="0.2">
      <c r="A77" s="44" t="s">
        <v>116</v>
      </c>
      <c r="D77" s="46">
        <f>D44/D24</f>
        <v>3</v>
      </c>
      <c r="E77" s="46">
        <f>E44/E24</f>
        <v>3.2758620689655173</v>
      </c>
      <c r="F77" s="48">
        <v>2.8</v>
      </c>
      <c r="G77" s="35"/>
    </row>
    <row r="78" spans="1:9" x14ac:dyDescent="0.2">
      <c r="A78" s="44" t="s">
        <v>117</v>
      </c>
      <c r="D78" s="46">
        <f>D44/D26</f>
        <v>1.5</v>
      </c>
      <c r="E78" s="46">
        <f>E44/E26</f>
        <v>1.6964285714285714</v>
      </c>
      <c r="F78" s="48">
        <v>1.8</v>
      </c>
      <c r="G78" s="35"/>
    </row>
    <row r="79" spans="1:9" x14ac:dyDescent="0.2">
      <c r="A79" s="45" t="s">
        <v>36</v>
      </c>
      <c r="F79" s="48"/>
      <c r="G79" s="35"/>
    </row>
    <row r="80" spans="1:9" x14ac:dyDescent="0.2">
      <c r="A80" s="44" t="s">
        <v>169</v>
      </c>
      <c r="D80" s="39">
        <f>(D31+D33)/(D31+D33+D37)</f>
        <v>0.47778308647873863</v>
      </c>
      <c r="E80" s="39">
        <f>(E31+E33)/(E31+E33+E37)</f>
        <v>0.42105263157894735</v>
      </c>
      <c r="F80" s="49">
        <v>0.36399999999999999</v>
      </c>
      <c r="G80" s="35"/>
    </row>
    <row r="81" spans="1:11" x14ac:dyDescent="0.2">
      <c r="A81" s="44" t="s">
        <v>43</v>
      </c>
      <c r="D81" s="46">
        <f>D47/D48</f>
        <v>3.2250000000000019</v>
      </c>
      <c r="E81" s="46">
        <f>E47/E48</f>
        <v>4.3833333333333337</v>
      </c>
      <c r="F81" s="48">
        <v>6</v>
      </c>
      <c r="G81" s="35"/>
    </row>
    <row r="82" spans="1:11" x14ac:dyDescent="0.2">
      <c r="A82" s="45" t="s">
        <v>37</v>
      </c>
      <c r="F82" s="48"/>
      <c r="G82" s="35"/>
    </row>
    <row r="83" spans="1:11" x14ac:dyDescent="0.2">
      <c r="A83" s="38" t="s">
        <v>118</v>
      </c>
      <c r="D83" s="150">
        <f>D47/D44</f>
        <v>9.4600000000000059E-2</v>
      </c>
      <c r="E83" s="150">
        <f>E47/E44</f>
        <v>9.2280701754385963E-2</v>
      </c>
      <c r="F83" s="151">
        <v>0.1</v>
      </c>
      <c r="G83" s="35"/>
    </row>
    <row r="84" spans="1:11" x14ac:dyDescent="0.2">
      <c r="A84" s="44" t="s">
        <v>44</v>
      </c>
      <c r="D84" s="39">
        <f>D51/D44</f>
        <v>3.9160000000000035E-2</v>
      </c>
      <c r="E84" s="39">
        <f>E51/E44</f>
        <v>4.2736842105263156E-2</v>
      </c>
      <c r="F84" s="49">
        <v>0.05</v>
      </c>
      <c r="G84" s="11"/>
      <c r="H84" s="36"/>
    </row>
    <row r="85" spans="1:11" x14ac:dyDescent="0.2">
      <c r="A85" s="44" t="s">
        <v>175</v>
      </c>
      <c r="D85" s="39">
        <f>D51/D26</f>
        <v>5.8740000000000049E-2</v>
      </c>
      <c r="E85" s="39">
        <f>E51/E26</f>
        <v>7.2499999999999995E-2</v>
      </c>
      <c r="F85" s="50">
        <v>0.09</v>
      </c>
      <c r="G85" s="11"/>
    </row>
    <row r="86" spans="1:11" x14ac:dyDescent="0.2">
      <c r="A86" s="44" t="s">
        <v>170</v>
      </c>
      <c r="D86" s="39">
        <f>D51/D37</f>
        <v>0.12498138258260823</v>
      </c>
      <c r="E86" s="39">
        <f>E51/E37</f>
        <v>0.1384090909090909</v>
      </c>
      <c r="F86" s="50">
        <v>0.15</v>
      </c>
      <c r="G86" s="11"/>
    </row>
    <row r="87" spans="1:11" x14ac:dyDescent="0.2">
      <c r="A87" s="1" t="s">
        <v>171</v>
      </c>
      <c r="B87" s="1"/>
      <c r="D87" s="39">
        <f>(D47*(1-$D$13))/(D31+D33+D37)</f>
        <v>9.4601051122790311E-2</v>
      </c>
      <c r="E87" s="39">
        <f>(E47*(1-$E$13))/(E31+E33+E37)</f>
        <v>0.10381578947368419</v>
      </c>
      <c r="F87" s="50">
        <v>0.108</v>
      </c>
      <c r="G87" s="11"/>
      <c r="H87" s="37"/>
    </row>
    <row r="88" spans="1:11" x14ac:dyDescent="0.2">
      <c r="A88" s="44" t="s">
        <v>45</v>
      </c>
      <c r="D88" s="39">
        <f>D47/D26</f>
        <v>0.14190000000000008</v>
      </c>
      <c r="E88" s="39">
        <f>E47/E26</f>
        <v>0.15654761904761905</v>
      </c>
      <c r="F88" s="49">
        <v>0.18</v>
      </c>
      <c r="H88" s="38"/>
      <c r="I88" s="15"/>
      <c r="J88" s="15"/>
      <c r="K88" s="15"/>
    </row>
    <row r="89" spans="1:11" x14ac:dyDescent="0.2">
      <c r="A89" s="45" t="s">
        <v>38</v>
      </c>
      <c r="F89" s="48"/>
    </row>
    <row r="90" spans="1:11" x14ac:dyDescent="0.2">
      <c r="A90" s="44" t="s">
        <v>157</v>
      </c>
      <c r="D90" s="46">
        <f>D11/D58</f>
        <v>9.8144364998297497</v>
      </c>
      <c r="E90" s="46">
        <f>E11/E58</f>
        <v>10.673234811165846</v>
      </c>
      <c r="F90" s="51">
        <v>11.3</v>
      </c>
    </row>
    <row r="91" spans="1:11" x14ac:dyDescent="0.2">
      <c r="A91" s="44" t="s">
        <v>46</v>
      </c>
      <c r="D91" s="46">
        <f>D11/D60</f>
        <v>1.2266218430179363</v>
      </c>
      <c r="E91" s="46">
        <f>E11/E60</f>
        <v>1.4772727272727271</v>
      </c>
      <c r="F91" s="48">
        <v>1.7</v>
      </c>
    </row>
    <row r="93" spans="1:11" ht="13.5" customHeight="1" x14ac:dyDescent="0.2">
      <c r="A93" s="7" t="s">
        <v>158</v>
      </c>
    </row>
    <row r="94" spans="1:11" ht="13.5" customHeight="1" x14ac:dyDescent="0.2"/>
    <row r="95" spans="1:11" ht="30.75" customHeight="1" x14ac:dyDescent="0.2">
      <c r="A95" s="210" t="s">
        <v>159</v>
      </c>
      <c r="B95" s="210"/>
      <c r="C95" s="210"/>
      <c r="D95" s="210"/>
      <c r="E95" s="210"/>
      <c r="F95" s="210"/>
      <c r="G95" s="210"/>
      <c r="H95" s="210"/>
      <c r="I95" s="210"/>
    </row>
    <row r="96" spans="1:11" ht="13.5" customHeight="1" x14ac:dyDescent="0.2"/>
    <row r="97" spans="1:9" ht="16.5" customHeight="1" x14ac:dyDescent="0.25">
      <c r="A97" s="153" t="s">
        <v>84</v>
      </c>
      <c r="B97" s="2" t="s">
        <v>85</v>
      </c>
      <c r="D97" s="15" t="s">
        <v>87</v>
      </c>
      <c r="F97" s="15" t="s">
        <v>86</v>
      </c>
    </row>
    <row r="98" spans="1:9" ht="41.25" customHeight="1" thickBot="1" x14ac:dyDescent="0.3">
      <c r="A98" s="152" t="s">
        <v>120</v>
      </c>
      <c r="B98" s="118" t="s">
        <v>119</v>
      </c>
      <c r="C98" s="121" t="s">
        <v>90</v>
      </c>
      <c r="D98" s="119" t="s">
        <v>88</v>
      </c>
      <c r="E98" s="121" t="s">
        <v>90</v>
      </c>
      <c r="F98" s="120" t="s">
        <v>89</v>
      </c>
    </row>
    <row r="99" spans="1:9" ht="18.75" customHeight="1" thickBot="1" x14ac:dyDescent="0.3">
      <c r="A99" s="154" t="s">
        <v>121</v>
      </c>
      <c r="B99" s="124">
        <f>D51/D44</f>
        <v>3.9160000000000035E-2</v>
      </c>
      <c r="C99" s="125" t="s">
        <v>90</v>
      </c>
      <c r="D99" s="126">
        <f>D44/D26</f>
        <v>1.5</v>
      </c>
      <c r="E99" s="125" t="s">
        <v>90</v>
      </c>
      <c r="F99" s="189">
        <f>D26/D37</f>
        <v>2.1277048447839313</v>
      </c>
      <c r="G99" s="156" t="s">
        <v>91</v>
      </c>
      <c r="H99" s="155">
        <f>B99*D99*F99</f>
        <v>0.12498138258260824</v>
      </c>
    </row>
    <row r="100" spans="1:9" ht="18" customHeight="1" thickBot="1" x14ac:dyDescent="0.25"/>
    <row r="101" spans="1:9" ht="13.5" customHeight="1" thickBot="1" x14ac:dyDescent="0.3">
      <c r="A101" s="128" t="s">
        <v>92</v>
      </c>
      <c r="B101" s="188">
        <f>F84</f>
        <v>0.05</v>
      </c>
      <c r="C101" s="125" t="s">
        <v>90</v>
      </c>
      <c r="D101" s="187">
        <f>F78</f>
        <v>1.8</v>
      </c>
      <c r="E101" s="125" t="s">
        <v>90</v>
      </c>
      <c r="F101" s="189">
        <f>F86/F85</f>
        <v>1.6666666666666667</v>
      </c>
      <c r="G101" s="156" t="s">
        <v>91</v>
      </c>
      <c r="H101" s="155">
        <f>B101*D101*F101</f>
        <v>0.15000000000000002</v>
      </c>
    </row>
    <row r="102" spans="1:9" s="11" customFormat="1" ht="13.5" customHeight="1" x14ac:dyDescent="0.25">
      <c r="A102" s="122"/>
      <c r="B102" s="123"/>
    </row>
    <row r="103" spans="1:9" s="11" customFormat="1" ht="13.5" customHeight="1" x14ac:dyDescent="0.2">
      <c r="A103" s="63" t="s">
        <v>172</v>
      </c>
      <c r="B103" s="123"/>
      <c r="F103" s="191" t="s">
        <v>173</v>
      </c>
    </row>
    <row r="104" spans="1:9" s="11" customFormat="1" ht="13.5" customHeight="1" x14ac:dyDescent="0.25">
      <c r="A104" s="122"/>
      <c r="B104" s="123"/>
    </row>
    <row r="105" spans="1:9" ht="13.5" customHeight="1" x14ac:dyDescent="0.2">
      <c r="A105" s="7" t="s">
        <v>160</v>
      </c>
    </row>
    <row r="106" spans="1:9" x14ac:dyDescent="0.2">
      <c r="B106" s="6"/>
      <c r="C106" s="4"/>
      <c r="D106" s="4"/>
      <c r="E106" s="4"/>
      <c r="F106" s="4"/>
      <c r="G106" s="4"/>
      <c r="H106" s="4"/>
    </row>
    <row r="107" spans="1:9" ht="45.75" customHeight="1" x14ac:dyDescent="0.2">
      <c r="A107" s="210" t="s">
        <v>83</v>
      </c>
      <c r="B107" s="210"/>
      <c r="C107" s="210"/>
      <c r="D107" s="210"/>
      <c r="E107" s="210"/>
      <c r="F107" s="210"/>
      <c r="G107" s="210"/>
      <c r="H107" s="210"/>
      <c r="I107" s="210"/>
    </row>
    <row r="108" spans="1:9" ht="13.5" thickBot="1" x14ac:dyDescent="0.25"/>
    <row r="109" spans="1:9" ht="13.5" thickBot="1" x14ac:dyDescent="0.25">
      <c r="B109" s="58"/>
      <c r="C109" s="59" t="s">
        <v>48</v>
      </c>
      <c r="D109" s="60" t="s">
        <v>47</v>
      </c>
    </row>
    <row r="110" spans="1:9" x14ac:dyDescent="0.2">
      <c r="B110" s="56">
        <v>2011</v>
      </c>
      <c r="C110" s="52">
        <v>0.14000000000000001</v>
      </c>
      <c r="D110" s="53">
        <v>0.13200000000000001</v>
      </c>
    </row>
    <row r="111" spans="1:9" x14ac:dyDescent="0.2">
      <c r="B111" s="56">
        <v>2012</v>
      </c>
      <c r="C111" s="52">
        <v>0.161</v>
      </c>
      <c r="D111" s="53">
        <v>0.15</v>
      </c>
    </row>
    <row r="112" spans="1:9" x14ac:dyDescent="0.2">
      <c r="B112" s="56">
        <v>2013</v>
      </c>
      <c r="C112" s="52">
        <v>0.14800000000000002</v>
      </c>
      <c r="D112" s="53">
        <v>0.16</v>
      </c>
    </row>
    <row r="113" spans="2:4" x14ac:dyDescent="0.2">
      <c r="B113" s="56">
        <v>2014</v>
      </c>
      <c r="C113" s="52">
        <f>E86</f>
        <v>0.1384090909090909</v>
      </c>
      <c r="D113" s="53">
        <v>0.16200000000000001</v>
      </c>
    </row>
    <row r="114" spans="2:4" ht="13.5" thickBot="1" x14ac:dyDescent="0.25">
      <c r="B114" s="57">
        <v>2015</v>
      </c>
      <c r="C114" s="54">
        <f>D86</f>
        <v>0.12498138258260823</v>
      </c>
      <c r="D114" s="55">
        <f>F86</f>
        <v>0.15</v>
      </c>
    </row>
  </sheetData>
  <mergeCells count="7">
    <mergeCell ref="A3:H3"/>
    <mergeCell ref="A6:I6"/>
    <mergeCell ref="A69:I69"/>
    <mergeCell ref="A107:I107"/>
    <mergeCell ref="A95:I95"/>
    <mergeCell ref="G42:H42"/>
    <mergeCell ref="G17:H17"/>
  </mergeCells>
  <phoneticPr fontId="2" type="noConversion"/>
  <printOptions headings="1" gridLines="1"/>
  <pageMargins left="0.5" right="0.25" top="1" bottom="0.75" header="0.5" footer="0.5"/>
  <pageSetup orientation="portrait" horizontalDpi="300" verticalDpi="300" r:id="rId1"/>
  <headerFooter alignWithMargins="0"/>
  <rowBreaks count="3" manualBreakCount="3">
    <brk id="26" max="8" man="1"/>
    <brk id="67" max="8" man="1"/>
    <brk id="104"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52" zoomScaleNormal="100" zoomScaleSheetLayoutView="100" workbookViewId="0">
      <selection activeCell="J23" sqref="J23"/>
    </sheetView>
  </sheetViews>
  <sheetFormatPr defaultRowHeight="12.75" x14ac:dyDescent="0.2"/>
  <cols>
    <col min="1" max="1" width="11.7109375" style="65" customWidth="1"/>
    <col min="2" max="2" width="9.140625" style="65"/>
    <col min="3" max="3" width="10.28515625" style="65" customWidth="1"/>
    <col min="4" max="4" width="9.140625" style="65"/>
    <col min="5" max="7" width="11.140625" style="65" customWidth="1"/>
    <col min="8" max="16384" width="9.140625" style="65"/>
  </cols>
  <sheetData>
    <row r="1" spans="1:9" ht="15.75" x14ac:dyDescent="0.25">
      <c r="A1" s="62" t="s">
        <v>149</v>
      </c>
      <c r="H1" s="116" t="str">
        <f>'04 Chapter model'!H1</f>
        <v>11/05/14</v>
      </c>
    </row>
    <row r="2" spans="1:9" ht="15.75" x14ac:dyDescent="0.25">
      <c r="A2" s="62"/>
      <c r="H2" s="64"/>
    </row>
    <row r="3" spans="1:9" ht="15.75" x14ac:dyDescent="0.25">
      <c r="A3" s="62"/>
      <c r="H3" s="64"/>
    </row>
    <row r="4" spans="1:9" ht="15.75" x14ac:dyDescent="0.25">
      <c r="A4" s="62"/>
      <c r="H4" s="64"/>
    </row>
    <row r="5" spans="1:9" x14ac:dyDescent="0.2">
      <c r="H5" s="63"/>
      <c r="I5" s="63"/>
    </row>
    <row r="6" spans="1:9" x14ac:dyDescent="0.2">
      <c r="A6" s="65" t="s">
        <v>71</v>
      </c>
      <c r="C6" s="99">
        <v>0.1</v>
      </c>
      <c r="H6" s="63"/>
      <c r="I6" s="63"/>
    </row>
    <row r="7" spans="1:9" x14ac:dyDescent="0.2">
      <c r="A7" s="65" t="s">
        <v>24</v>
      </c>
      <c r="C7" s="99">
        <v>0.4</v>
      </c>
      <c r="H7" s="63"/>
      <c r="I7" s="63"/>
    </row>
    <row r="8" spans="1:9" x14ac:dyDescent="0.2">
      <c r="H8" s="63"/>
      <c r="I8" s="63"/>
    </row>
    <row r="9" spans="1:9" x14ac:dyDescent="0.2">
      <c r="A9" s="61" t="s">
        <v>176</v>
      </c>
      <c r="B9" s="63"/>
      <c r="C9" s="63"/>
      <c r="D9" s="63"/>
      <c r="E9" s="63"/>
      <c r="F9" s="63"/>
      <c r="G9" s="63"/>
      <c r="H9" s="63"/>
      <c r="I9" s="63"/>
    </row>
    <row r="10" spans="1:9" x14ac:dyDescent="0.2">
      <c r="A10" s="66" t="s">
        <v>49</v>
      </c>
      <c r="B10" s="67"/>
      <c r="C10" s="158">
        <v>50</v>
      </c>
      <c r="D10" s="68"/>
      <c r="E10" s="68" t="s">
        <v>52</v>
      </c>
      <c r="F10" s="68"/>
      <c r="G10" s="160">
        <v>0</v>
      </c>
      <c r="I10" s="63"/>
    </row>
    <row r="11" spans="1:9" x14ac:dyDescent="0.2">
      <c r="A11" s="69" t="s">
        <v>50</v>
      </c>
      <c r="B11" s="63"/>
      <c r="C11" s="157">
        <v>50</v>
      </c>
      <c r="D11" s="63"/>
      <c r="E11" s="63" t="s">
        <v>53</v>
      </c>
      <c r="F11" s="63"/>
      <c r="G11" s="192">
        <v>100</v>
      </c>
      <c r="I11" s="63"/>
    </row>
    <row r="12" spans="1:9" ht="13.5" thickBot="1" x14ac:dyDescent="0.25">
      <c r="A12" s="69" t="s">
        <v>51</v>
      </c>
      <c r="B12" s="63"/>
      <c r="C12" s="159">
        <f>SUM(C10:C11)</f>
        <v>100</v>
      </c>
      <c r="D12" s="71"/>
      <c r="E12" s="71" t="s">
        <v>62</v>
      </c>
      <c r="F12" s="71"/>
      <c r="G12" s="161">
        <f>SUM(G10:G11)</f>
        <v>100</v>
      </c>
      <c r="I12" s="63"/>
    </row>
    <row r="13" spans="1:9" ht="13.5" thickTop="1" x14ac:dyDescent="0.2">
      <c r="A13" s="69"/>
      <c r="B13" s="63"/>
      <c r="C13" s="63"/>
      <c r="D13" s="63"/>
      <c r="E13" s="63"/>
      <c r="F13" s="63"/>
      <c r="G13" s="70"/>
      <c r="H13" s="63"/>
      <c r="I13" s="63"/>
    </row>
    <row r="14" spans="1:9" x14ac:dyDescent="0.2">
      <c r="A14" s="69"/>
      <c r="B14" s="63"/>
      <c r="C14" s="63"/>
      <c r="D14" s="63"/>
      <c r="E14" s="72" t="s">
        <v>61</v>
      </c>
      <c r="F14" s="73"/>
      <c r="G14" s="74"/>
      <c r="H14" s="63"/>
      <c r="I14" s="63"/>
    </row>
    <row r="15" spans="1:9" x14ac:dyDescent="0.2">
      <c r="A15" s="69"/>
      <c r="B15" s="63"/>
      <c r="C15" s="63"/>
      <c r="D15" s="63"/>
      <c r="E15" s="75" t="s">
        <v>55</v>
      </c>
      <c r="F15" s="75" t="s">
        <v>56</v>
      </c>
      <c r="G15" s="76" t="s">
        <v>57</v>
      </c>
      <c r="H15" s="77"/>
      <c r="I15" s="63"/>
    </row>
    <row r="16" spans="1:9" x14ac:dyDescent="0.2">
      <c r="A16" s="69" t="s">
        <v>65</v>
      </c>
      <c r="B16" s="63"/>
      <c r="C16" s="63"/>
      <c r="D16" s="63"/>
      <c r="E16" s="78">
        <v>150</v>
      </c>
      <c r="F16" s="78">
        <v>100</v>
      </c>
      <c r="G16" s="79">
        <v>75</v>
      </c>
      <c r="H16" s="63"/>
      <c r="I16" s="63"/>
    </row>
    <row r="17" spans="1:9" x14ac:dyDescent="0.2">
      <c r="A17" s="69" t="s">
        <v>70</v>
      </c>
      <c r="B17" s="63" t="s">
        <v>59</v>
      </c>
      <c r="C17" s="63"/>
      <c r="E17" s="80">
        <v>45</v>
      </c>
      <c r="F17" s="80">
        <v>45</v>
      </c>
      <c r="G17" s="81">
        <v>45</v>
      </c>
      <c r="H17" s="63"/>
      <c r="I17" s="63"/>
    </row>
    <row r="18" spans="1:9" x14ac:dyDescent="0.2">
      <c r="A18" s="69"/>
      <c r="B18" s="63" t="s">
        <v>60</v>
      </c>
      <c r="C18" s="97">
        <v>0.4</v>
      </c>
      <c r="E18" s="82">
        <f>$C$18*E16</f>
        <v>60</v>
      </c>
      <c r="F18" s="82">
        <f>$C$18*F16</f>
        <v>40</v>
      </c>
      <c r="G18" s="83">
        <f>$C$18*G16</f>
        <v>30</v>
      </c>
      <c r="H18" s="63"/>
      <c r="I18" s="63"/>
    </row>
    <row r="19" spans="1:9" x14ac:dyDescent="0.2">
      <c r="A19" s="69"/>
      <c r="B19" s="98" t="s">
        <v>69</v>
      </c>
      <c r="C19" s="63"/>
      <c r="E19" s="84">
        <f>E17+E18</f>
        <v>105</v>
      </c>
      <c r="F19" s="84">
        <f>F17+F18</f>
        <v>85</v>
      </c>
      <c r="G19" s="85">
        <f>G17+G18</f>
        <v>75</v>
      </c>
      <c r="H19" s="63"/>
      <c r="I19" s="63"/>
    </row>
    <row r="20" spans="1:9" x14ac:dyDescent="0.2">
      <c r="A20" s="69" t="s">
        <v>32</v>
      </c>
      <c r="B20" s="63"/>
      <c r="C20" s="63"/>
      <c r="D20" s="63"/>
      <c r="E20" s="78">
        <f>E16-E19</f>
        <v>45</v>
      </c>
      <c r="F20" s="78">
        <f>F16-F19</f>
        <v>15</v>
      </c>
      <c r="G20" s="79">
        <f>G16-G19</f>
        <v>0</v>
      </c>
      <c r="H20" s="63"/>
      <c r="I20" s="63"/>
    </row>
    <row r="21" spans="1:9" x14ac:dyDescent="0.2">
      <c r="A21" s="69" t="s">
        <v>63</v>
      </c>
      <c r="B21" s="63"/>
      <c r="C21" s="86"/>
      <c r="D21" s="87"/>
      <c r="E21" s="82">
        <f>G10*C6</f>
        <v>0</v>
      </c>
      <c r="F21" s="82">
        <f>G10*C6</f>
        <v>0</v>
      </c>
      <c r="G21" s="83">
        <f>G10*C6</f>
        <v>0</v>
      </c>
      <c r="H21" s="63"/>
      <c r="I21" s="63"/>
    </row>
    <row r="22" spans="1:9" x14ac:dyDescent="0.2">
      <c r="A22" s="69" t="s">
        <v>3</v>
      </c>
      <c r="B22" s="63"/>
      <c r="C22" s="63"/>
      <c r="D22" s="63"/>
      <c r="E22" s="78">
        <f>E20-E21</f>
        <v>45</v>
      </c>
      <c r="F22" s="78">
        <f>F20-F21</f>
        <v>15</v>
      </c>
      <c r="G22" s="79">
        <f>G20-G21</f>
        <v>0</v>
      </c>
      <c r="H22" s="63"/>
      <c r="I22" s="63"/>
    </row>
    <row r="23" spans="1:9" x14ac:dyDescent="0.2">
      <c r="A23" s="69" t="s">
        <v>64</v>
      </c>
      <c r="B23" s="63"/>
      <c r="C23" s="86"/>
      <c r="D23" s="87"/>
      <c r="E23" s="80">
        <f>E22*C7</f>
        <v>18</v>
      </c>
      <c r="F23" s="80">
        <f>F22*C7</f>
        <v>6</v>
      </c>
      <c r="G23" s="81">
        <f>G22*C7</f>
        <v>0</v>
      </c>
      <c r="H23" s="63"/>
      <c r="I23" s="63"/>
    </row>
    <row r="24" spans="1:9" ht="13.5" thickBot="1" x14ac:dyDescent="0.25">
      <c r="A24" s="69" t="s">
        <v>54</v>
      </c>
      <c r="B24" s="63"/>
      <c r="C24" s="63"/>
      <c r="D24" s="63"/>
      <c r="E24" s="88">
        <f>E22-E23</f>
        <v>27</v>
      </c>
      <c r="F24" s="88">
        <f>F22-F23</f>
        <v>9</v>
      </c>
      <c r="G24" s="89">
        <f>G22-G23</f>
        <v>0</v>
      </c>
      <c r="H24" s="63"/>
      <c r="I24" s="63"/>
    </row>
    <row r="25" spans="1:9" ht="18.75" customHeight="1" thickTop="1" x14ac:dyDescent="0.25">
      <c r="A25" s="90" t="s">
        <v>68</v>
      </c>
      <c r="B25" s="91"/>
      <c r="C25" s="91"/>
      <c r="D25" s="91"/>
      <c r="E25" s="92">
        <f>E24/$G$11</f>
        <v>0.27</v>
      </c>
      <c r="F25" s="92">
        <f>F24/$G$11</f>
        <v>0.09</v>
      </c>
      <c r="G25" s="92">
        <f>G24/$G$11</f>
        <v>0</v>
      </c>
      <c r="H25" s="63"/>
      <c r="I25" s="63"/>
    </row>
    <row r="26" spans="1:9" x14ac:dyDescent="0.2">
      <c r="H26" s="63"/>
      <c r="I26" s="63"/>
    </row>
    <row r="27" spans="1:9" x14ac:dyDescent="0.2">
      <c r="A27" s="63"/>
      <c r="B27" s="63"/>
      <c r="C27" s="63"/>
      <c r="D27" s="63"/>
      <c r="E27" s="63"/>
      <c r="F27" s="63"/>
      <c r="G27" s="63"/>
      <c r="H27" s="63"/>
      <c r="I27" s="63"/>
    </row>
    <row r="28" spans="1:9" x14ac:dyDescent="0.2">
      <c r="A28" s="63" t="s">
        <v>177</v>
      </c>
      <c r="B28" s="63"/>
      <c r="C28" s="63"/>
      <c r="D28" s="63"/>
      <c r="E28" s="63"/>
      <c r="F28" s="63"/>
      <c r="G28" s="63"/>
      <c r="H28" s="63"/>
      <c r="I28" s="63"/>
    </row>
    <row r="29" spans="1:9" x14ac:dyDescent="0.2">
      <c r="A29" s="66" t="s">
        <v>49</v>
      </c>
      <c r="B29" s="67"/>
      <c r="C29" s="158">
        <v>50</v>
      </c>
      <c r="D29" s="68"/>
      <c r="E29" s="68" t="s">
        <v>52</v>
      </c>
      <c r="F29" s="68"/>
      <c r="G29" s="160">
        <v>50</v>
      </c>
      <c r="H29" s="93"/>
      <c r="I29" s="63"/>
    </row>
    <row r="30" spans="1:9" x14ac:dyDescent="0.2">
      <c r="A30" s="69" t="s">
        <v>50</v>
      </c>
      <c r="B30" s="63"/>
      <c r="C30" s="157">
        <v>50</v>
      </c>
      <c r="D30" s="63"/>
      <c r="E30" s="63" t="s">
        <v>53</v>
      </c>
      <c r="F30" s="63"/>
      <c r="G30" s="192">
        <v>50</v>
      </c>
      <c r="H30" s="93"/>
      <c r="I30" s="63"/>
    </row>
    <row r="31" spans="1:9" ht="13.5" thickBot="1" x14ac:dyDescent="0.25">
      <c r="A31" s="69" t="s">
        <v>51</v>
      </c>
      <c r="B31" s="63"/>
      <c r="C31" s="159">
        <f>SUM(C29:C30)</f>
        <v>100</v>
      </c>
      <c r="D31" s="71"/>
      <c r="E31" s="71" t="s">
        <v>62</v>
      </c>
      <c r="F31" s="71"/>
      <c r="G31" s="161">
        <f>SUM(G29:G30)</f>
        <v>100</v>
      </c>
      <c r="I31" s="63"/>
    </row>
    <row r="32" spans="1:9" ht="13.5" thickTop="1" x14ac:dyDescent="0.2">
      <c r="A32" s="69"/>
      <c r="B32" s="63"/>
      <c r="C32" s="63"/>
      <c r="D32" s="63"/>
      <c r="E32" s="63"/>
      <c r="F32" s="63"/>
      <c r="G32" s="70"/>
      <c r="H32" s="63"/>
      <c r="I32" s="63"/>
    </row>
    <row r="33" spans="1:9" x14ac:dyDescent="0.2">
      <c r="A33" s="69"/>
      <c r="B33" s="63"/>
      <c r="C33" s="63"/>
      <c r="D33" s="63"/>
      <c r="E33" s="72" t="s">
        <v>58</v>
      </c>
      <c r="F33" s="94"/>
      <c r="G33" s="74"/>
      <c r="H33" s="63"/>
      <c r="I33" s="63"/>
    </row>
    <row r="34" spans="1:9" x14ac:dyDescent="0.2">
      <c r="A34" s="69"/>
      <c r="B34" s="63"/>
      <c r="C34" s="63"/>
      <c r="D34" s="63"/>
      <c r="E34" s="75" t="s">
        <v>55</v>
      </c>
      <c r="F34" s="75" t="s">
        <v>56</v>
      </c>
      <c r="G34" s="76" t="s">
        <v>57</v>
      </c>
      <c r="H34" s="77"/>
      <c r="I34" s="63"/>
    </row>
    <row r="35" spans="1:9" x14ac:dyDescent="0.2">
      <c r="A35" s="69" t="s">
        <v>65</v>
      </c>
      <c r="B35" s="63"/>
      <c r="C35" s="63"/>
      <c r="D35" s="63"/>
      <c r="E35" s="78">
        <f>E16</f>
        <v>150</v>
      </c>
      <c r="F35" s="78">
        <f>F16</f>
        <v>100</v>
      </c>
      <c r="G35" s="79">
        <f>G16</f>
        <v>75</v>
      </c>
      <c r="H35" s="63"/>
      <c r="I35" s="63"/>
    </row>
    <row r="36" spans="1:9" x14ac:dyDescent="0.2">
      <c r="A36" s="69" t="s">
        <v>70</v>
      </c>
      <c r="B36" s="63" t="s">
        <v>59</v>
      </c>
      <c r="C36" s="63"/>
      <c r="E36" s="80">
        <v>45</v>
      </c>
      <c r="F36" s="80">
        <v>45</v>
      </c>
      <c r="G36" s="81">
        <v>45</v>
      </c>
      <c r="H36" s="63"/>
      <c r="I36" s="63"/>
    </row>
    <row r="37" spans="1:9" x14ac:dyDescent="0.2">
      <c r="A37" s="69"/>
      <c r="B37" s="63" t="s">
        <v>60</v>
      </c>
      <c r="C37" s="97">
        <v>0.4</v>
      </c>
      <c r="E37" s="82">
        <f>$C$37*E35</f>
        <v>60</v>
      </c>
      <c r="F37" s="82">
        <f>$C$37*F35</f>
        <v>40</v>
      </c>
      <c r="G37" s="83">
        <f>$C$37*G35</f>
        <v>30</v>
      </c>
      <c r="H37" s="63"/>
      <c r="I37" s="63"/>
    </row>
    <row r="38" spans="1:9" x14ac:dyDescent="0.2">
      <c r="A38" s="69"/>
      <c r="B38" s="98" t="s">
        <v>69</v>
      </c>
      <c r="C38" s="63"/>
      <c r="E38" s="95">
        <f>E36+E37</f>
        <v>105</v>
      </c>
      <c r="F38" s="95">
        <f>F36+F37</f>
        <v>85</v>
      </c>
      <c r="G38" s="96">
        <f>G36+G37</f>
        <v>75</v>
      </c>
      <c r="H38" s="63"/>
      <c r="I38" s="63"/>
    </row>
    <row r="39" spans="1:9" x14ac:dyDescent="0.2">
      <c r="A39" s="69" t="s">
        <v>32</v>
      </c>
      <c r="B39" s="63"/>
      <c r="C39" s="63"/>
      <c r="D39" s="63"/>
      <c r="E39" s="78">
        <f>E35-E38</f>
        <v>45</v>
      </c>
      <c r="F39" s="78">
        <f>F35-F38</f>
        <v>15</v>
      </c>
      <c r="G39" s="79">
        <f>G35-G38</f>
        <v>0</v>
      </c>
      <c r="H39" s="63"/>
      <c r="I39" s="63"/>
    </row>
    <row r="40" spans="1:9" x14ac:dyDescent="0.2">
      <c r="A40" s="69" t="s">
        <v>63</v>
      </c>
      <c r="B40" s="63"/>
      <c r="C40" s="86"/>
      <c r="D40" s="87"/>
      <c r="E40" s="82">
        <f>G29*C6</f>
        <v>5</v>
      </c>
      <c r="F40" s="82">
        <f>G29*C6</f>
        <v>5</v>
      </c>
      <c r="G40" s="83">
        <f>G29*C6</f>
        <v>5</v>
      </c>
      <c r="H40" s="63"/>
      <c r="I40" s="63"/>
    </row>
    <row r="41" spans="1:9" x14ac:dyDescent="0.2">
      <c r="A41" s="69" t="s">
        <v>3</v>
      </c>
      <c r="B41" s="63"/>
      <c r="C41" s="63"/>
      <c r="D41" s="63"/>
      <c r="E41" s="78">
        <f>E39-E40</f>
        <v>40</v>
      </c>
      <c r="F41" s="78">
        <f>F39-F40</f>
        <v>10</v>
      </c>
      <c r="G41" s="79">
        <f>G39-G40</f>
        <v>-5</v>
      </c>
      <c r="H41" s="63"/>
      <c r="I41" s="63"/>
    </row>
    <row r="42" spans="1:9" x14ac:dyDescent="0.2">
      <c r="A42" s="69" t="s">
        <v>64</v>
      </c>
      <c r="B42" s="63"/>
      <c r="C42" s="86"/>
      <c r="D42" s="87"/>
      <c r="E42" s="80">
        <f>IF(E41&gt;0,C7*E41,0)</f>
        <v>16</v>
      </c>
      <c r="F42" s="80">
        <f>IF(F41&gt;0,C7*F41,0)</f>
        <v>4</v>
      </c>
      <c r="G42" s="81">
        <f>IF(G41&gt;0,C7*G41,0)</f>
        <v>0</v>
      </c>
      <c r="H42" s="63"/>
      <c r="I42" s="63"/>
    </row>
    <row r="43" spans="1:9" ht="13.5" thickBot="1" x14ac:dyDescent="0.25">
      <c r="A43" s="69" t="s">
        <v>54</v>
      </c>
      <c r="B43" s="63"/>
      <c r="C43" s="63"/>
      <c r="D43" s="63"/>
      <c r="E43" s="88">
        <f>E41-E42</f>
        <v>24</v>
      </c>
      <c r="F43" s="88">
        <f>F41-F42</f>
        <v>6</v>
      </c>
      <c r="G43" s="89">
        <f>G41-G42</f>
        <v>-5</v>
      </c>
      <c r="H43" s="63"/>
      <c r="I43" s="63"/>
    </row>
    <row r="44" spans="1:9" ht="15" thickTop="1" x14ac:dyDescent="0.25">
      <c r="A44" s="90" t="s">
        <v>80</v>
      </c>
      <c r="B44" s="91"/>
      <c r="C44" s="91"/>
      <c r="D44" s="91"/>
      <c r="E44" s="92">
        <f>E43/$G$30</f>
        <v>0.48</v>
      </c>
      <c r="F44" s="92">
        <f>F43/$G$30</f>
        <v>0.12</v>
      </c>
      <c r="G44" s="92">
        <f>G43/$G$30</f>
        <v>-0.1</v>
      </c>
      <c r="H44" s="63"/>
      <c r="I44" s="63"/>
    </row>
    <row r="45" spans="1:9" x14ac:dyDescent="0.2">
      <c r="A45" s="63"/>
      <c r="B45" s="63"/>
      <c r="C45" s="63"/>
      <c r="D45" s="63"/>
      <c r="E45" s="63"/>
      <c r="F45" s="63"/>
      <c r="G45" s="63"/>
      <c r="H45" s="63"/>
      <c r="I45" s="63"/>
    </row>
    <row r="46" spans="1:9" ht="13.5" thickBot="1" x14ac:dyDescent="0.25">
      <c r="A46" s="63"/>
      <c r="B46" s="63"/>
      <c r="C46" s="212" t="s">
        <v>79</v>
      </c>
      <c r="D46" s="212"/>
      <c r="E46" s="63"/>
      <c r="F46" s="63"/>
      <c r="G46" s="63"/>
      <c r="H46" s="63"/>
      <c r="I46" s="63"/>
    </row>
    <row r="47" spans="1:9" x14ac:dyDescent="0.2">
      <c r="C47" s="130" t="s">
        <v>93</v>
      </c>
      <c r="D47" s="130" t="s">
        <v>94</v>
      </c>
    </row>
    <row r="48" spans="1:9" x14ac:dyDescent="0.2">
      <c r="A48" s="65" t="s">
        <v>55</v>
      </c>
      <c r="B48" s="134">
        <v>150</v>
      </c>
      <c r="C48" s="131">
        <f>E25</f>
        <v>0.27</v>
      </c>
      <c r="D48" s="131">
        <f>E44</f>
        <v>0.48</v>
      </c>
    </row>
    <row r="49" spans="1:4" x14ac:dyDescent="0.2">
      <c r="A49" s="65" t="s">
        <v>56</v>
      </c>
      <c r="B49" s="134">
        <v>100</v>
      </c>
      <c r="C49" s="131">
        <f>F25</f>
        <v>0.09</v>
      </c>
      <c r="D49" s="131">
        <f>F44</f>
        <v>0.12</v>
      </c>
    </row>
    <row r="50" spans="1:4" x14ac:dyDescent="0.2">
      <c r="A50" s="65" t="s">
        <v>57</v>
      </c>
      <c r="B50" s="134">
        <v>75</v>
      </c>
      <c r="C50" s="131">
        <f>G25</f>
        <v>0</v>
      </c>
      <c r="D50" s="131">
        <f>G44</f>
        <v>-0.1</v>
      </c>
    </row>
    <row r="52" spans="1:4" ht="13.5" thickBot="1" x14ac:dyDescent="0.25">
      <c r="A52" s="65" t="s">
        <v>95</v>
      </c>
      <c r="B52" s="162">
        <f>AVERAGE(B48:B50)</f>
        <v>108.33333333333333</v>
      </c>
      <c r="C52" s="132">
        <f>AVERAGE(C48:C50)</f>
        <v>0.12</v>
      </c>
      <c r="D52" s="132">
        <f>AVERAGE(D48:D50)</f>
        <v>0.16666666666666666</v>
      </c>
    </row>
    <row r="53" spans="1:4" ht="13.5" thickTop="1" x14ac:dyDescent="0.2"/>
  </sheetData>
  <mergeCells count="1">
    <mergeCell ref="C46:D46"/>
  </mergeCells>
  <phoneticPr fontId="2" type="noConversion"/>
  <pageMargins left="1.25" right="0.75" top="1" bottom="1" header="0.5" footer="0.5"/>
  <pageSetup orientation="portrait" r:id="rId1"/>
  <headerFooter alignWithMargins="0"/>
  <rowBreaks count="1" manualBreakCount="1">
    <brk id="45" max="16383" man="1"/>
  </rowBreaks>
  <ignoredErrors>
    <ignoredError sqref="E23:G23 E42:G4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G27" sqref="G27"/>
    </sheetView>
  </sheetViews>
  <sheetFormatPr defaultRowHeight="12.75" x14ac:dyDescent="0.2"/>
  <cols>
    <col min="1" max="8" width="10.140625" customWidth="1"/>
  </cols>
  <sheetData>
    <row r="1" spans="1:8" ht="16.5" x14ac:dyDescent="0.25">
      <c r="A1" s="100" t="s">
        <v>122</v>
      </c>
      <c r="H1" s="116" t="str">
        <f>'04 Chapter model'!H1</f>
        <v>11/05/14</v>
      </c>
    </row>
    <row r="2" spans="1:8" x14ac:dyDescent="0.2">
      <c r="A2" s="101" t="s">
        <v>72</v>
      </c>
    </row>
    <row r="4" spans="1:8" ht="27" customHeight="1" x14ac:dyDescent="0.2">
      <c r="A4" s="213" t="s">
        <v>128</v>
      </c>
      <c r="B4" s="213"/>
      <c r="C4" s="213"/>
      <c r="D4" s="213"/>
      <c r="E4" s="213"/>
      <c r="F4" s="213"/>
      <c r="G4" s="213"/>
      <c r="H4" s="213"/>
    </row>
    <row r="6" spans="1:8" x14ac:dyDescent="0.2">
      <c r="A6" s="65" t="s">
        <v>74</v>
      </c>
      <c r="C6" s="102">
        <v>500</v>
      </c>
    </row>
    <row r="7" spans="1:8" x14ac:dyDescent="0.2">
      <c r="A7" s="65" t="s">
        <v>73</v>
      </c>
      <c r="C7" s="105">
        <v>2</v>
      </c>
      <c r="D7" t="s">
        <v>96</v>
      </c>
      <c r="E7" t="s">
        <v>97</v>
      </c>
    </row>
    <row r="8" spans="1:8" ht="13.5" thickBot="1" x14ac:dyDescent="0.25"/>
    <row r="9" spans="1:8" ht="13.5" thickBot="1" x14ac:dyDescent="0.25">
      <c r="A9" s="104" t="s">
        <v>75</v>
      </c>
      <c r="B9" s="129"/>
      <c r="C9" s="133" t="s">
        <v>125</v>
      </c>
      <c r="D9" s="129"/>
      <c r="E9" s="103">
        <f>C6*C7</f>
        <v>1000</v>
      </c>
    </row>
    <row r="11" spans="1:8" ht="31.5" customHeight="1" x14ac:dyDescent="0.2">
      <c r="A11" s="213" t="s">
        <v>129</v>
      </c>
      <c r="B11" s="213"/>
      <c r="C11" s="213"/>
      <c r="D11" s="213"/>
      <c r="E11" s="213"/>
      <c r="F11" s="213"/>
      <c r="G11" s="213"/>
      <c r="H11" s="213"/>
    </row>
    <row r="13" spans="1:8" x14ac:dyDescent="0.2">
      <c r="A13" s="65" t="s">
        <v>74</v>
      </c>
      <c r="E13" s="102">
        <v>500</v>
      </c>
    </row>
    <row r="14" spans="1:8" x14ac:dyDescent="0.2">
      <c r="A14" s="65" t="s">
        <v>73</v>
      </c>
      <c r="E14" s="105">
        <v>2</v>
      </c>
    </row>
    <row r="15" spans="1:8" x14ac:dyDescent="0.2">
      <c r="A15" s="65" t="s">
        <v>126</v>
      </c>
      <c r="E15" s="105">
        <v>1.6</v>
      </c>
    </row>
    <row r="16" spans="1:8" x14ac:dyDescent="0.2">
      <c r="A16" s="65" t="s">
        <v>127</v>
      </c>
      <c r="E16" s="134">
        <f>E13*E15</f>
        <v>800</v>
      </c>
    </row>
    <row r="18" spans="1:6" x14ac:dyDescent="0.2">
      <c r="A18" s="65" t="s">
        <v>161</v>
      </c>
      <c r="E18" s="102">
        <f>E9</f>
        <v>1000</v>
      </c>
    </row>
    <row r="19" spans="1:6" ht="13.5" thickBot="1" x14ac:dyDescent="0.25"/>
    <row r="20" spans="1:6" ht="16.5" thickBot="1" x14ac:dyDescent="0.3">
      <c r="A20" s="135" t="s">
        <v>98</v>
      </c>
      <c r="B20" s="136">
        <f>E18</f>
        <v>1000</v>
      </c>
      <c r="C20" s="137" t="s">
        <v>99</v>
      </c>
      <c r="D20" s="136">
        <f>E16</f>
        <v>800</v>
      </c>
      <c r="E20" s="137" t="s">
        <v>100</v>
      </c>
      <c r="F20" s="138">
        <f>B20-D20</f>
        <v>200</v>
      </c>
    </row>
  </sheetData>
  <mergeCells count="2">
    <mergeCell ref="A4:H4"/>
    <mergeCell ref="A11:H11"/>
  </mergeCells>
  <phoneticPr fontId="2"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2.75" x14ac:dyDescent="0.2"/>
  <cols>
    <col min="1" max="1" width="10.7109375" customWidth="1"/>
    <col min="2" max="2" width="12.42578125" customWidth="1"/>
    <col min="3" max="8" width="10.140625" customWidth="1"/>
  </cols>
  <sheetData>
    <row r="1" spans="1:8" ht="16.5" x14ac:dyDescent="0.25">
      <c r="A1" s="100" t="s">
        <v>123</v>
      </c>
      <c r="G1" s="116" t="str">
        <f>'04 Chapter model'!H1</f>
        <v>11/05/14</v>
      </c>
    </row>
    <row r="2" spans="1:8" x14ac:dyDescent="0.2">
      <c r="A2" s="101" t="s">
        <v>72</v>
      </c>
    </row>
    <row r="4" spans="1:8" ht="27" customHeight="1" x14ac:dyDescent="0.2">
      <c r="A4" s="213" t="s">
        <v>130</v>
      </c>
      <c r="B4" s="213"/>
      <c r="C4" s="213"/>
      <c r="D4" s="213"/>
      <c r="E4" s="213"/>
      <c r="F4" s="213"/>
      <c r="G4" s="213"/>
      <c r="H4" s="213"/>
    </row>
    <row r="6" spans="1:8" x14ac:dyDescent="0.2">
      <c r="A6" s="65" t="s">
        <v>76</v>
      </c>
      <c r="C6" s="102">
        <v>100</v>
      </c>
    </row>
    <row r="7" spans="1:8" x14ac:dyDescent="0.2">
      <c r="A7" s="65" t="s">
        <v>77</v>
      </c>
      <c r="C7" s="102">
        <v>20</v>
      </c>
    </row>
    <row r="8" spans="1:8" x14ac:dyDescent="0.2">
      <c r="A8" s="65" t="s">
        <v>78</v>
      </c>
      <c r="C8" s="102">
        <v>30</v>
      </c>
      <c r="D8" t="s">
        <v>101</v>
      </c>
    </row>
    <row r="9" spans="1:8" ht="13.5" thickBot="1" x14ac:dyDescent="0.25"/>
    <row r="10" spans="1:8" ht="13.5" thickBot="1" x14ac:dyDescent="0.25">
      <c r="A10" s="104" t="s">
        <v>102</v>
      </c>
      <c r="B10" s="129"/>
      <c r="C10" s="129" t="s">
        <v>103</v>
      </c>
      <c r="D10" s="129"/>
      <c r="E10" s="106">
        <f>C6/C7</f>
        <v>5</v>
      </c>
    </row>
    <row r="12" spans="1:8" ht="31.5" customHeight="1" x14ac:dyDescent="0.2">
      <c r="A12" s="213" t="s">
        <v>162</v>
      </c>
      <c r="B12" s="213"/>
      <c r="C12" s="213"/>
      <c r="D12" s="213"/>
      <c r="E12" s="213"/>
      <c r="F12" s="213"/>
      <c r="G12" s="213"/>
      <c r="H12" s="213"/>
    </row>
    <row r="14" spans="1:8" x14ac:dyDescent="0.2">
      <c r="A14" s="65" t="s">
        <v>76</v>
      </c>
      <c r="C14" s="102">
        <v>100</v>
      </c>
    </row>
    <row r="15" spans="1:8" x14ac:dyDescent="0.2">
      <c r="A15" s="65" t="s">
        <v>77</v>
      </c>
      <c r="C15" s="102">
        <v>20</v>
      </c>
      <c r="D15" t="s">
        <v>101</v>
      </c>
    </row>
    <row r="16" spans="1:8" x14ac:dyDescent="0.2">
      <c r="A16" s="65" t="s">
        <v>78</v>
      </c>
      <c r="C16" s="102">
        <v>30</v>
      </c>
    </row>
    <row r="17" spans="1:7" ht="13.5" thickBot="1" x14ac:dyDescent="0.25"/>
    <row r="18" spans="1:7" ht="13.5" thickBot="1" x14ac:dyDescent="0.25">
      <c r="A18" s="204" t="s">
        <v>104</v>
      </c>
      <c r="B18" s="129"/>
      <c r="C18" s="129" t="s">
        <v>105</v>
      </c>
      <c r="D18" s="129"/>
      <c r="E18" s="129"/>
      <c r="F18" s="139">
        <f>C16/(C14/365)</f>
        <v>109.5</v>
      </c>
      <c r="G18" s="127" t="s">
        <v>106</v>
      </c>
    </row>
  </sheetData>
  <mergeCells count="2">
    <mergeCell ref="A4:H4"/>
    <mergeCell ref="A12:H12"/>
  </mergeCells>
  <phoneticPr fontId="2"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zoomScaleNormal="100" zoomScaleSheetLayoutView="100" workbookViewId="0"/>
  </sheetViews>
  <sheetFormatPr defaultRowHeight="12.75" x14ac:dyDescent="0.2"/>
  <cols>
    <col min="1" max="1" width="11.42578125" customWidth="1"/>
    <col min="2" max="2" width="11" customWidth="1"/>
    <col min="3" max="3" width="10.140625" customWidth="1"/>
    <col min="4" max="4" width="11" customWidth="1"/>
    <col min="5" max="8" width="10.140625" customWidth="1"/>
  </cols>
  <sheetData>
    <row r="1" spans="1:8" ht="16.5" x14ac:dyDescent="0.25">
      <c r="A1" s="100" t="s">
        <v>124</v>
      </c>
      <c r="G1" s="116" t="str">
        <f>'04 Chapter model'!H1</f>
        <v>11/05/14</v>
      </c>
      <c r="H1" s="193"/>
    </row>
    <row r="2" spans="1:8" x14ac:dyDescent="0.2">
      <c r="A2" s="101" t="s">
        <v>72</v>
      </c>
    </row>
    <row r="4" spans="1:8" ht="42" customHeight="1" x14ac:dyDescent="0.2">
      <c r="A4" s="214" t="s">
        <v>178</v>
      </c>
      <c r="B4" s="214"/>
      <c r="C4" s="214"/>
      <c r="D4" s="214"/>
      <c r="E4" s="214"/>
      <c r="F4" s="214"/>
      <c r="G4" s="214"/>
      <c r="H4" s="214"/>
    </row>
    <row r="5" spans="1:8" x14ac:dyDescent="0.2">
      <c r="A5" s="179"/>
      <c r="B5" s="179"/>
      <c r="C5" s="179"/>
      <c r="D5" s="179"/>
      <c r="E5" s="179"/>
      <c r="F5" s="179"/>
      <c r="G5" s="179"/>
      <c r="H5" s="179"/>
    </row>
    <row r="6" spans="1:8" x14ac:dyDescent="0.2">
      <c r="A6" s="197" t="s">
        <v>180</v>
      </c>
      <c r="B6" s="179"/>
      <c r="C6" s="194"/>
      <c r="D6" s="179"/>
      <c r="E6" s="179"/>
      <c r="F6" s="179"/>
      <c r="G6" s="179"/>
      <c r="H6" s="179"/>
    </row>
    <row r="7" spans="1:8" x14ac:dyDescent="0.2">
      <c r="A7" s="11" t="s">
        <v>179</v>
      </c>
      <c r="B7" s="198">
        <v>100</v>
      </c>
      <c r="C7" s="194"/>
      <c r="D7" s="179"/>
      <c r="E7" s="179"/>
      <c r="F7" s="179"/>
      <c r="G7" s="179"/>
      <c r="H7" s="179"/>
    </row>
    <row r="8" spans="1:8" x14ac:dyDescent="0.2">
      <c r="A8" s="11" t="s">
        <v>153</v>
      </c>
      <c r="B8" s="198">
        <v>10</v>
      </c>
      <c r="C8" s="194"/>
      <c r="D8" s="179"/>
      <c r="E8" s="179"/>
      <c r="F8" s="179"/>
      <c r="G8" s="179"/>
      <c r="H8" s="179"/>
    </row>
    <row r="9" spans="1:8" x14ac:dyDescent="0.2">
      <c r="A9" s="11" t="s">
        <v>181</v>
      </c>
      <c r="B9" s="199">
        <v>0.4</v>
      </c>
      <c r="C9" s="194"/>
      <c r="D9" s="179"/>
      <c r="E9" s="179"/>
      <c r="F9" s="179"/>
      <c r="G9" s="179"/>
      <c r="H9" s="179"/>
    </row>
    <row r="10" spans="1:8" x14ac:dyDescent="0.2">
      <c r="A10" s="11"/>
      <c r="B10" s="179"/>
      <c r="C10" s="195"/>
      <c r="D10" s="179"/>
      <c r="E10" s="179"/>
      <c r="F10" s="179"/>
      <c r="G10" s="179"/>
      <c r="H10" s="179"/>
    </row>
    <row r="11" spans="1:8" x14ac:dyDescent="0.2">
      <c r="A11" s="11" t="s">
        <v>182</v>
      </c>
      <c r="B11" s="11" t="s">
        <v>153</v>
      </c>
      <c r="C11" s="200" t="s">
        <v>183</v>
      </c>
      <c r="D11" s="11" t="s">
        <v>14</v>
      </c>
      <c r="E11" s="179"/>
      <c r="F11" s="179"/>
      <c r="G11" s="179"/>
      <c r="H11" s="179"/>
    </row>
    <row r="12" spans="1:8" x14ac:dyDescent="0.2">
      <c r="A12" s="11" t="s">
        <v>182</v>
      </c>
      <c r="B12" s="194">
        <f>B8</f>
        <v>10</v>
      </c>
      <c r="C12" s="200" t="s">
        <v>183</v>
      </c>
      <c r="D12" s="201">
        <f>B7</f>
        <v>100</v>
      </c>
      <c r="E12" s="42"/>
      <c r="F12" s="179"/>
      <c r="G12" s="179"/>
      <c r="H12" s="179"/>
    </row>
    <row r="13" spans="1:8" x14ac:dyDescent="0.2">
      <c r="A13" s="202" t="s">
        <v>182</v>
      </c>
      <c r="B13" s="203">
        <f>B12/D12</f>
        <v>0.1</v>
      </c>
      <c r="C13" s="179"/>
      <c r="D13" s="179"/>
      <c r="E13" s="179"/>
      <c r="F13" s="179"/>
      <c r="G13" s="179"/>
      <c r="H13" s="179"/>
    </row>
    <row r="14" spans="1:8" x14ac:dyDescent="0.2">
      <c r="A14" s="214"/>
      <c r="B14" s="214"/>
      <c r="C14" s="214"/>
      <c r="D14" s="214"/>
      <c r="E14" s="214"/>
      <c r="F14" s="214"/>
      <c r="G14" s="214"/>
      <c r="H14" s="214"/>
    </row>
    <row r="15" spans="1:8" x14ac:dyDescent="0.2">
      <c r="A15" s="11" t="s">
        <v>184</v>
      </c>
      <c r="B15" s="179"/>
      <c r="C15" s="179"/>
      <c r="D15" s="179"/>
      <c r="E15" s="179"/>
      <c r="F15" s="179"/>
      <c r="G15" s="179"/>
      <c r="H15" s="179"/>
    </row>
    <row r="16" spans="1:8" x14ac:dyDescent="0.2">
      <c r="A16" s="11" t="s">
        <v>84</v>
      </c>
      <c r="B16" s="11" t="s">
        <v>153</v>
      </c>
      <c r="C16" s="200" t="s">
        <v>183</v>
      </c>
      <c r="D16" s="11" t="s">
        <v>185</v>
      </c>
      <c r="E16" s="179"/>
      <c r="F16" s="179"/>
      <c r="G16" s="179"/>
      <c r="H16" s="179"/>
    </row>
    <row r="17" spans="1:8" x14ac:dyDescent="0.2">
      <c r="A17" s="11" t="s">
        <v>84</v>
      </c>
      <c r="B17" s="194">
        <f>B8</f>
        <v>10</v>
      </c>
      <c r="C17" s="200" t="s">
        <v>183</v>
      </c>
      <c r="D17" s="201">
        <f>B7</f>
        <v>100</v>
      </c>
      <c r="E17" s="179"/>
      <c r="F17" s="179"/>
      <c r="G17" s="179"/>
      <c r="H17" s="179"/>
    </row>
    <row r="18" spans="1:8" x14ac:dyDescent="0.2">
      <c r="A18" s="205" t="s">
        <v>84</v>
      </c>
      <c r="B18" s="206">
        <f>B17/D17</f>
        <v>0.1</v>
      </c>
      <c r="C18" s="179"/>
      <c r="D18" s="179"/>
      <c r="E18" s="179"/>
      <c r="F18" s="179"/>
      <c r="G18" s="179"/>
      <c r="H18" s="179"/>
    </row>
    <row r="19" spans="1:8" x14ac:dyDescent="0.2">
      <c r="A19" s="11"/>
      <c r="B19" s="179"/>
      <c r="C19" s="195"/>
      <c r="D19" s="179"/>
      <c r="E19" s="179"/>
      <c r="F19" s="179"/>
      <c r="G19" s="179"/>
      <c r="H19" s="179"/>
    </row>
    <row r="20" spans="1:8" x14ac:dyDescent="0.2">
      <c r="A20" s="11" t="s">
        <v>186</v>
      </c>
      <c r="B20" s="179"/>
      <c r="C20" s="179"/>
      <c r="D20" s="179"/>
      <c r="E20" s="179"/>
      <c r="F20" s="179"/>
      <c r="G20" s="179"/>
      <c r="H20" s="179"/>
    </row>
    <row r="21" spans="1:8" x14ac:dyDescent="0.2">
      <c r="A21" s="11" t="s">
        <v>187</v>
      </c>
      <c r="B21" s="11" t="s">
        <v>188</v>
      </c>
      <c r="C21" s="200" t="s">
        <v>183</v>
      </c>
      <c r="D21" s="11" t="s">
        <v>189</v>
      </c>
      <c r="E21" s="42"/>
      <c r="F21" s="179"/>
      <c r="G21" s="179"/>
      <c r="H21" s="179"/>
    </row>
    <row r="22" spans="1:8" x14ac:dyDescent="0.2">
      <c r="A22" s="11" t="s">
        <v>187</v>
      </c>
      <c r="B22" s="194">
        <f>B8</f>
        <v>10</v>
      </c>
      <c r="C22" s="200" t="s">
        <v>183</v>
      </c>
      <c r="D22" s="207">
        <f>B7</f>
        <v>100</v>
      </c>
      <c r="E22" s="179"/>
      <c r="F22" s="179"/>
      <c r="G22" s="179"/>
      <c r="H22" s="179"/>
    </row>
    <row r="23" spans="1:8" x14ac:dyDescent="0.2">
      <c r="A23" s="205" t="s">
        <v>187</v>
      </c>
      <c r="B23" s="206">
        <f>B22/D22</f>
        <v>0.1</v>
      </c>
      <c r="C23" s="208"/>
      <c r="D23" s="208"/>
      <c r="E23" s="208"/>
      <c r="F23" s="208"/>
      <c r="G23" s="208"/>
      <c r="H23" s="208"/>
    </row>
    <row r="24" spans="1:8" x14ac:dyDescent="0.2">
      <c r="A24" s="179"/>
      <c r="B24" s="179"/>
      <c r="C24" s="179"/>
      <c r="D24" s="179"/>
      <c r="E24" s="179"/>
      <c r="F24" s="179"/>
      <c r="G24" s="179"/>
      <c r="H24" s="179"/>
    </row>
    <row r="25" spans="1:8" x14ac:dyDescent="0.2">
      <c r="A25" s="11"/>
      <c r="B25" s="179"/>
      <c r="C25" s="179"/>
      <c r="D25" s="179"/>
      <c r="E25" s="194"/>
      <c r="F25" s="179"/>
      <c r="G25" s="179"/>
      <c r="H25" s="179"/>
    </row>
    <row r="26" spans="1:8" x14ac:dyDescent="0.2">
      <c r="A26" s="11"/>
      <c r="B26" s="179"/>
      <c r="C26" s="179"/>
      <c r="D26" s="179"/>
      <c r="E26" s="194"/>
      <c r="F26" s="179"/>
      <c r="G26" s="179"/>
      <c r="H26" s="179"/>
    </row>
    <row r="27" spans="1:8" x14ac:dyDescent="0.2">
      <c r="A27" s="11"/>
      <c r="B27" s="179"/>
      <c r="C27" s="179"/>
      <c r="D27" s="179"/>
      <c r="E27" s="194"/>
      <c r="F27" s="179"/>
      <c r="G27" s="179"/>
      <c r="H27" s="179"/>
    </row>
    <row r="28" spans="1:8" x14ac:dyDescent="0.2">
      <c r="A28" s="11"/>
      <c r="B28" s="179"/>
      <c r="C28" s="179"/>
      <c r="D28" s="179"/>
      <c r="E28" s="195"/>
      <c r="F28" s="179"/>
      <c r="G28" s="179"/>
      <c r="H28" s="179"/>
    </row>
    <row r="29" spans="1:8" x14ac:dyDescent="0.2">
      <c r="A29" s="179"/>
      <c r="B29" s="179"/>
      <c r="C29" s="179"/>
      <c r="D29" s="179"/>
      <c r="E29" s="179"/>
      <c r="F29" s="179"/>
      <c r="G29" s="179"/>
      <c r="H29" s="179"/>
    </row>
    <row r="30" spans="1:8" x14ac:dyDescent="0.2">
      <c r="A30" s="11"/>
      <c r="B30" s="11"/>
      <c r="C30" s="11"/>
      <c r="D30" s="11"/>
      <c r="E30" s="30"/>
      <c r="F30" s="179"/>
      <c r="G30" s="179"/>
      <c r="H30" s="179"/>
    </row>
    <row r="31" spans="1:8" x14ac:dyDescent="0.2">
      <c r="A31" s="179"/>
      <c r="B31" s="179"/>
      <c r="C31" s="179"/>
      <c r="D31" s="179"/>
      <c r="E31" s="179"/>
      <c r="F31" s="179"/>
      <c r="G31" s="179"/>
      <c r="H31" s="179"/>
    </row>
    <row r="32" spans="1:8" x14ac:dyDescent="0.2">
      <c r="A32" s="11"/>
      <c r="B32" s="179"/>
      <c r="C32" s="179"/>
      <c r="D32" s="179"/>
      <c r="E32" s="42"/>
      <c r="F32" s="179"/>
      <c r="G32" s="179"/>
      <c r="H32" s="179"/>
    </row>
    <row r="33" spans="1:8" x14ac:dyDescent="0.2">
      <c r="A33" s="179"/>
      <c r="B33" s="179"/>
      <c r="C33" s="179"/>
      <c r="D33" s="179"/>
      <c r="E33" s="179"/>
      <c r="F33" s="179"/>
      <c r="G33" s="179"/>
      <c r="H33" s="179"/>
    </row>
    <row r="34" spans="1:8" x14ac:dyDescent="0.2">
      <c r="A34" s="11"/>
      <c r="B34" s="179"/>
      <c r="C34" s="179"/>
      <c r="D34" s="179"/>
      <c r="E34" s="179"/>
      <c r="F34" s="179"/>
      <c r="G34" s="179"/>
      <c r="H34" s="179"/>
    </row>
    <row r="35" spans="1:8" x14ac:dyDescent="0.2">
      <c r="A35" s="179"/>
      <c r="B35" s="179"/>
      <c r="C35" s="179"/>
      <c r="D35" s="179"/>
      <c r="E35" s="179"/>
      <c r="F35" s="179"/>
      <c r="G35" s="179"/>
      <c r="H35" s="179"/>
    </row>
    <row r="36" spans="1:8" x14ac:dyDescent="0.2">
      <c r="A36" s="196"/>
      <c r="B36" s="11"/>
      <c r="C36" s="179"/>
      <c r="D36" s="179"/>
      <c r="E36" s="179"/>
      <c r="F36" s="179"/>
      <c r="G36" s="179"/>
      <c r="H36" s="179"/>
    </row>
    <row r="37" spans="1:8" x14ac:dyDescent="0.2">
      <c r="A37" s="11"/>
      <c r="B37" s="11"/>
      <c r="C37" s="179"/>
      <c r="D37" s="179"/>
      <c r="E37" s="179"/>
      <c r="F37" s="179"/>
      <c r="G37" s="179"/>
      <c r="H37" s="179"/>
    </row>
    <row r="38" spans="1:8" x14ac:dyDescent="0.2">
      <c r="A38" s="179"/>
      <c r="B38" s="179"/>
      <c r="C38" s="179"/>
      <c r="D38" s="179"/>
      <c r="E38" s="179"/>
      <c r="F38" s="179"/>
      <c r="G38" s="179"/>
      <c r="H38" s="179"/>
    </row>
    <row r="39" spans="1:8" x14ac:dyDescent="0.2">
      <c r="A39" s="11"/>
      <c r="B39" s="179"/>
      <c r="C39" s="179"/>
      <c r="D39" s="179"/>
      <c r="E39" s="179"/>
      <c r="F39" s="179"/>
      <c r="G39" s="179"/>
      <c r="H39" s="179"/>
    </row>
    <row r="40" spans="1:8" x14ac:dyDescent="0.2">
      <c r="A40" s="179"/>
      <c r="B40" s="179"/>
      <c r="C40" s="179"/>
      <c r="D40" s="179"/>
      <c r="E40" s="179"/>
      <c r="F40" s="179"/>
      <c r="G40" s="179"/>
      <c r="H40" s="179"/>
    </row>
    <row r="41" spans="1:8" x14ac:dyDescent="0.2">
      <c r="A41" s="196"/>
      <c r="B41" s="11"/>
      <c r="C41" s="11"/>
      <c r="D41" s="11"/>
      <c r="E41" s="11"/>
      <c r="F41" s="11"/>
      <c r="G41" s="11"/>
      <c r="H41" s="11"/>
    </row>
    <row r="42" spans="1:8" x14ac:dyDescent="0.2">
      <c r="A42" s="179"/>
      <c r="B42" s="11"/>
      <c r="C42" s="11"/>
      <c r="D42" s="11"/>
      <c r="E42" s="11"/>
      <c r="F42" s="11"/>
      <c r="G42" s="11"/>
      <c r="H42" s="11"/>
    </row>
    <row r="43" spans="1:8" x14ac:dyDescent="0.2">
      <c r="A43" s="179"/>
      <c r="B43" s="11"/>
      <c r="C43" s="11"/>
      <c r="D43" s="11"/>
      <c r="E43" s="11"/>
      <c r="F43" s="11"/>
      <c r="G43" s="11"/>
      <c r="H43" s="11"/>
    </row>
    <row r="44" spans="1:8" x14ac:dyDescent="0.2">
      <c r="A44" s="179"/>
      <c r="B44" s="11"/>
      <c r="C44" s="11"/>
      <c r="D44" s="11"/>
      <c r="E44" s="11"/>
      <c r="F44" s="11"/>
      <c r="G44" s="11"/>
      <c r="H44" s="11"/>
    </row>
    <row r="45" spans="1:8" x14ac:dyDescent="0.2">
      <c r="A45" s="179"/>
      <c r="B45" s="11"/>
      <c r="C45" s="11"/>
      <c r="D45" s="11"/>
      <c r="E45" s="11"/>
      <c r="F45" s="11"/>
      <c r="G45" s="11"/>
      <c r="H45" s="11"/>
    </row>
    <row r="46" spans="1:8" x14ac:dyDescent="0.2">
      <c r="A46" s="179"/>
      <c r="B46" s="11"/>
      <c r="C46" s="179"/>
      <c r="D46" s="179"/>
      <c r="E46" s="179"/>
      <c r="F46" s="179"/>
      <c r="G46" s="179"/>
      <c r="H46" s="179"/>
    </row>
    <row r="47" spans="1:8" x14ac:dyDescent="0.2">
      <c r="A47" s="179"/>
      <c r="B47" s="11"/>
      <c r="C47" s="179"/>
      <c r="D47" s="179"/>
      <c r="E47" s="179"/>
      <c r="F47" s="179"/>
      <c r="G47" s="179"/>
      <c r="H47" s="179"/>
    </row>
  </sheetData>
  <mergeCells count="2">
    <mergeCell ref="A4:H4"/>
    <mergeCell ref="A14:H14"/>
  </mergeCells>
  <phoneticPr fontId="2"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zoomScaleNormal="100" workbookViewId="0"/>
  </sheetViews>
  <sheetFormatPr defaultRowHeight="12.75" x14ac:dyDescent="0.2"/>
  <cols>
    <col min="1" max="1" width="33" customWidth="1"/>
    <col min="2" max="2" width="6.42578125" customWidth="1"/>
    <col min="3" max="3" width="11" customWidth="1"/>
    <col min="6" max="6" width="5.5703125" customWidth="1"/>
  </cols>
  <sheetData>
    <row r="1" spans="1:9" ht="15" x14ac:dyDescent="0.25">
      <c r="A1" s="163" t="s">
        <v>147</v>
      </c>
      <c r="B1" s="163" t="s">
        <v>164</v>
      </c>
      <c r="G1" s="116" t="str">
        <f>'04 Chapter model'!H1</f>
        <v>11/05/14</v>
      </c>
      <c r="H1" s="116"/>
    </row>
    <row r="2" spans="1:9" ht="39.75" thickBot="1" x14ac:dyDescent="0.3">
      <c r="A2" s="164" t="s">
        <v>131</v>
      </c>
      <c r="C2" s="165" t="s">
        <v>192</v>
      </c>
      <c r="D2" s="166">
        <v>2015</v>
      </c>
      <c r="E2" s="166">
        <f>D2-1</f>
        <v>2014</v>
      </c>
      <c r="G2" s="166" t="s">
        <v>132</v>
      </c>
      <c r="H2" s="166">
        <f>$D$2</f>
        <v>2015</v>
      </c>
      <c r="I2" s="166">
        <f>H2-1</f>
        <v>2014</v>
      </c>
    </row>
    <row r="3" spans="1:9" x14ac:dyDescent="0.2">
      <c r="A3" t="s">
        <v>1</v>
      </c>
      <c r="C3" s="167">
        <f t="shared" ref="C3:C11" si="0">G3/$G$3</f>
        <v>1</v>
      </c>
      <c r="D3" s="168">
        <f t="shared" ref="D3:D11" si="1">H3/$H$3</f>
        <v>1</v>
      </c>
      <c r="E3" s="168">
        <f t="shared" ref="E3:E11" si="2">I3/$I$3</f>
        <v>1</v>
      </c>
      <c r="G3" s="169">
        <f>387000+(448000-387000)/3</f>
        <v>407333.33333333331</v>
      </c>
      <c r="H3" s="169">
        <v>3000</v>
      </c>
      <c r="I3" s="169">
        <v>2850</v>
      </c>
    </row>
    <row r="4" spans="1:9" x14ac:dyDescent="0.2">
      <c r="A4" t="s">
        <v>133</v>
      </c>
      <c r="C4" s="168">
        <f t="shared" si="0"/>
        <v>0.87958265139116198</v>
      </c>
      <c r="D4" s="168">
        <f t="shared" si="1"/>
        <v>0.87206666666666666</v>
      </c>
      <c r="E4" s="168">
        <f t="shared" si="2"/>
        <v>0.876140350877193</v>
      </c>
      <c r="G4" s="169">
        <f>G6-G5</f>
        <v>358283.33333333331</v>
      </c>
      <c r="H4" s="169">
        <v>2616.1999999999998</v>
      </c>
      <c r="I4" s="169">
        <v>2497</v>
      </c>
    </row>
    <row r="5" spans="1:9" x14ac:dyDescent="0.2">
      <c r="A5" t="s">
        <v>134</v>
      </c>
      <c r="C5" s="170">
        <f t="shared" si="0"/>
        <v>2.0417348608837971E-2</v>
      </c>
      <c r="D5" s="170">
        <f t="shared" si="1"/>
        <v>3.3333333333333333E-2</v>
      </c>
      <c r="E5" s="170">
        <f t="shared" si="2"/>
        <v>3.1578947368421054E-2</v>
      </c>
      <c r="G5" s="171">
        <f>7900+(9150-7900)/3</f>
        <v>8316.6666666666661</v>
      </c>
      <c r="H5" s="171">
        <v>100</v>
      </c>
      <c r="I5" s="171">
        <v>90</v>
      </c>
    </row>
    <row r="6" spans="1:9" x14ac:dyDescent="0.2">
      <c r="A6" t="s">
        <v>135</v>
      </c>
      <c r="C6" s="172">
        <f t="shared" si="0"/>
        <v>0.9</v>
      </c>
      <c r="D6" s="172">
        <f t="shared" si="1"/>
        <v>0.90539999999999998</v>
      </c>
      <c r="E6" s="172">
        <f t="shared" si="2"/>
        <v>0.90771929824561404</v>
      </c>
      <c r="G6" s="171">
        <f>G3-G7</f>
        <v>366600</v>
      </c>
      <c r="H6" s="173">
        <f>H4+H5</f>
        <v>2716.2</v>
      </c>
      <c r="I6" s="173">
        <f>I4+I5</f>
        <v>2587</v>
      </c>
    </row>
    <row r="7" spans="1:9" x14ac:dyDescent="0.2">
      <c r="A7" t="s">
        <v>32</v>
      </c>
      <c r="C7" s="168">
        <f t="shared" si="0"/>
        <v>0.1</v>
      </c>
      <c r="D7" s="168">
        <f t="shared" si="1"/>
        <v>9.4600000000000059E-2</v>
      </c>
      <c r="E7" s="168">
        <f t="shared" si="2"/>
        <v>9.2280701754385963E-2</v>
      </c>
      <c r="G7" s="169">
        <f>0.1*G3</f>
        <v>40733.333333333336</v>
      </c>
      <c r="H7" s="169">
        <f>H3-H6</f>
        <v>283.80000000000018</v>
      </c>
      <c r="I7" s="169">
        <f>I3-I6</f>
        <v>263</v>
      </c>
    </row>
    <row r="8" spans="1:9" x14ac:dyDescent="0.2">
      <c r="A8" t="s">
        <v>136</v>
      </c>
      <c r="C8" s="170">
        <f t="shared" si="0"/>
        <v>1.666666666666667E-2</v>
      </c>
      <c r="D8" s="170">
        <f t="shared" si="1"/>
        <v>2.9333333333333333E-2</v>
      </c>
      <c r="E8" s="170">
        <f t="shared" si="2"/>
        <v>2.1052631578947368E-2</v>
      </c>
      <c r="G8" s="171">
        <f>G7-G9</f>
        <v>6788.8888888888905</v>
      </c>
      <c r="H8" s="171">
        <v>88</v>
      </c>
      <c r="I8" s="171">
        <v>60</v>
      </c>
    </row>
    <row r="9" spans="1:9" x14ac:dyDescent="0.2">
      <c r="A9" t="s">
        <v>137</v>
      </c>
      <c r="C9" s="168">
        <f t="shared" si="0"/>
        <v>8.3333333333333343E-2</v>
      </c>
      <c r="D9" s="168">
        <f t="shared" si="1"/>
        <v>6.5266666666666723E-2</v>
      </c>
      <c r="E9" s="168">
        <f t="shared" si="2"/>
        <v>7.1228070175438599E-2</v>
      </c>
      <c r="G9" s="169">
        <f>G11/(1-0.4)</f>
        <v>33944.444444444445</v>
      </c>
      <c r="H9" s="169">
        <f>H7-H8</f>
        <v>195.80000000000018</v>
      </c>
      <c r="I9" s="169">
        <f>I7-I8</f>
        <v>203</v>
      </c>
    </row>
    <row r="10" spans="1:9" ht="15" x14ac:dyDescent="0.25">
      <c r="A10" t="s">
        <v>25</v>
      </c>
      <c r="B10" s="174"/>
      <c r="C10" s="168">
        <f t="shared" si="0"/>
        <v>3.333333333333334E-2</v>
      </c>
      <c r="D10" s="168">
        <f t="shared" si="1"/>
        <v>2.6106666666666691E-2</v>
      </c>
      <c r="E10" s="168">
        <f t="shared" si="2"/>
        <v>2.8491228070175439E-2</v>
      </c>
      <c r="F10" s="174"/>
      <c r="G10" s="169">
        <f>0.4*G9</f>
        <v>13577.777777777779</v>
      </c>
      <c r="H10" s="169">
        <f>0.4*H9</f>
        <v>78.320000000000078</v>
      </c>
      <c r="I10" s="169">
        <f>0.4*I9</f>
        <v>81.2</v>
      </c>
    </row>
    <row r="11" spans="1:9" ht="13.5" thickBot="1" x14ac:dyDescent="0.25">
      <c r="A11" t="s">
        <v>153</v>
      </c>
      <c r="C11" s="175">
        <f t="shared" si="0"/>
        <v>0.05</v>
      </c>
      <c r="D11" s="175">
        <f t="shared" si="1"/>
        <v>3.9160000000000035E-2</v>
      </c>
      <c r="E11" s="175">
        <f t="shared" si="2"/>
        <v>4.2736842105263156E-2</v>
      </c>
      <c r="G11" s="176">
        <f>0.05*G3</f>
        <v>20366.666666666668</v>
      </c>
      <c r="H11" s="176">
        <f>H9-H10</f>
        <v>117.4800000000001</v>
      </c>
      <c r="I11" s="176">
        <f>I9-I10</f>
        <v>121.8</v>
      </c>
    </row>
    <row r="12" spans="1:9" ht="13.5" thickTop="1" x14ac:dyDescent="0.2"/>
    <row r="13" spans="1:9" ht="15" x14ac:dyDescent="0.25">
      <c r="A13" s="163" t="s">
        <v>163</v>
      </c>
      <c r="B13" s="163" t="s">
        <v>165</v>
      </c>
    </row>
    <row r="14" spans="1:9" ht="39.75" thickBot="1" x14ac:dyDescent="0.3">
      <c r="A14" s="164" t="s">
        <v>138</v>
      </c>
      <c r="C14" s="165" t="str">
        <f>$C$2</f>
        <v>2015
Industry Composite</v>
      </c>
      <c r="D14" s="166">
        <f>$D$2</f>
        <v>2015</v>
      </c>
      <c r="E14" s="166">
        <f>D14-1</f>
        <v>2014</v>
      </c>
      <c r="G14" s="166" t="s">
        <v>132</v>
      </c>
      <c r="H14" s="166">
        <f>$D$2</f>
        <v>2015</v>
      </c>
      <c r="I14" s="166">
        <f>H14-1</f>
        <v>2014</v>
      </c>
    </row>
    <row r="15" spans="1:9" x14ac:dyDescent="0.2">
      <c r="A15" t="s">
        <v>139</v>
      </c>
      <c r="C15" s="168">
        <f>G15/$G$21</f>
        <v>1.4470995888615579E-2</v>
      </c>
      <c r="D15" s="168">
        <f>H15/$H$21</f>
        <v>5.0000000000000001E-3</v>
      </c>
      <c r="E15" s="168">
        <f>I15/$I$21</f>
        <v>4.7619047619047616E-2</v>
      </c>
      <c r="G15" s="169">
        <f>G18-G16-G17</f>
        <v>3274.7327733126367</v>
      </c>
      <c r="H15">
        <v>10</v>
      </c>
      <c r="I15">
        <v>80</v>
      </c>
    </row>
    <row r="16" spans="1:9" x14ac:dyDescent="0.2">
      <c r="A16" t="s">
        <v>10</v>
      </c>
      <c r="C16" s="168">
        <f t="shared" ref="C16:C21" si="3">G16/$G$21</f>
        <v>0.17753424657534247</v>
      </c>
      <c r="D16" s="168">
        <f t="shared" ref="D16:D21" si="4">H16/$H$21</f>
        <v>0.1875</v>
      </c>
      <c r="E16" s="168">
        <f t="shared" ref="E16:E21" si="5">I16/$I$21</f>
        <v>0.1875</v>
      </c>
      <c r="G16" s="169">
        <f>36*G3/365</f>
        <v>40175.342465753427</v>
      </c>
      <c r="H16">
        <v>375</v>
      </c>
      <c r="I16">
        <v>315</v>
      </c>
    </row>
    <row r="17" spans="1:9" x14ac:dyDescent="0.2">
      <c r="A17" t="s">
        <v>11</v>
      </c>
      <c r="C17" s="170">
        <f t="shared" si="3"/>
        <v>0.16513761467889909</v>
      </c>
      <c r="D17" s="170">
        <f t="shared" si="4"/>
        <v>0.3075</v>
      </c>
      <c r="E17" s="170">
        <f t="shared" si="5"/>
        <v>0.24702380952380953</v>
      </c>
      <c r="G17" s="171">
        <f>G3/10.9</f>
        <v>37370.030581039755</v>
      </c>
      <c r="H17" s="177">
        <v>615</v>
      </c>
      <c r="I17" s="177">
        <v>415</v>
      </c>
    </row>
    <row r="18" spans="1:9" x14ac:dyDescent="0.2">
      <c r="A18" t="s">
        <v>140</v>
      </c>
      <c r="C18" s="168">
        <f t="shared" si="3"/>
        <v>0.35714285714285715</v>
      </c>
      <c r="D18" s="168">
        <f t="shared" si="4"/>
        <v>0.5</v>
      </c>
      <c r="E18" s="168">
        <f t="shared" si="5"/>
        <v>0.48214285714285715</v>
      </c>
      <c r="G18" s="169">
        <f>G21-G20-G19</f>
        <v>80820.105820105819</v>
      </c>
      <c r="H18" s="169">
        <f>SUM(H15:H17)</f>
        <v>1000</v>
      </c>
      <c r="I18" s="169">
        <f>SUM(I15:I17)</f>
        <v>810</v>
      </c>
    </row>
    <row r="19" spans="1:9" x14ac:dyDescent="0.2">
      <c r="A19" t="s">
        <v>141</v>
      </c>
      <c r="C19" s="168">
        <f t="shared" si="3"/>
        <v>0.6428571428571429</v>
      </c>
      <c r="D19" s="168">
        <f t="shared" si="4"/>
        <v>0.5</v>
      </c>
      <c r="E19" s="168">
        <f t="shared" si="5"/>
        <v>0.5178571428571429</v>
      </c>
      <c r="G19" s="169">
        <f>G3/2.8</f>
        <v>145476.19047619047</v>
      </c>
      <c r="H19" s="178">
        <v>1000</v>
      </c>
      <c r="I19" s="179">
        <v>870</v>
      </c>
    </row>
    <row r="20" spans="1:9" x14ac:dyDescent="0.2">
      <c r="A20" t="s">
        <v>142</v>
      </c>
      <c r="C20" s="170">
        <f t="shared" si="3"/>
        <v>0</v>
      </c>
      <c r="D20" s="168">
        <f t="shared" si="4"/>
        <v>0</v>
      </c>
      <c r="E20" s="168">
        <f t="shared" si="5"/>
        <v>0</v>
      </c>
      <c r="G20" s="169">
        <v>0</v>
      </c>
      <c r="H20" s="179">
        <v>0</v>
      </c>
      <c r="I20" s="179">
        <v>0</v>
      </c>
    </row>
    <row r="21" spans="1:9" ht="13.5" thickBot="1" x14ac:dyDescent="0.25">
      <c r="A21" t="s">
        <v>143</v>
      </c>
      <c r="C21" s="175">
        <f t="shared" si="3"/>
        <v>1</v>
      </c>
      <c r="D21" s="175">
        <f t="shared" si="4"/>
        <v>1</v>
      </c>
      <c r="E21" s="175">
        <f t="shared" si="5"/>
        <v>1</v>
      </c>
      <c r="G21" s="176">
        <f>G3/1.8</f>
        <v>226296.29629629629</v>
      </c>
      <c r="H21" s="176">
        <f>SUM(H18:H20)</f>
        <v>2000</v>
      </c>
      <c r="I21" s="176">
        <f>SUM(I18:I20)</f>
        <v>1680</v>
      </c>
    </row>
    <row r="22" spans="1:9" ht="13.5" thickTop="1" x14ac:dyDescent="0.2">
      <c r="G22" s="169"/>
    </row>
    <row r="23" spans="1:9" x14ac:dyDescent="0.2">
      <c r="A23" t="s">
        <v>16</v>
      </c>
      <c r="C23" s="180">
        <f>G23/$G$30</f>
        <v>2.2527986906710311E-2</v>
      </c>
      <c r="D23" s="180">
        <f t="shared" ref="D23:D30" si="6">H23/$H$30</f>
        <v>0.03</v>
      </c>
      <c r="E23" s="180">
        <f t="shared" ref="E23:E30" si="7">I23/$I$30</f>
        <v>1.7857142857142856E-2</v>
      </c>
      <c r="G23" s="169">
        <v>5098</v>
      </c>
      <c r="H23">
        <v>60</v>
      </c>
      <c r="I23">
        <v>30</v>
      </c>
    </row>
    <row r="24" spans="1:9" x14ac:dyDescent="0.2">
      <c r="A24" t="s">
        <v>18</v>
      </c>
      <c r="C24" s="180">
        <f t="shared" ref="C24:C30" si="8">G24/$G$30</f>
        <v>3.4013605442176867E-2</v>
      </c>
      <c r="D24" s="180">
        <f t="shared" si="6"/>
        <v>7.0000000000000007E-2</v>
      </c>
      <c r="E24" s="180">
        <f t="shared" si="7"/>
        <v>7.7380952380952384E-2</v>
      </c>
      <c r="G24" s="169">
        <f>0.4*$G$26</f>
        <v>7697.152935248173</v>
      </c>
      <c r="H24">
        <v>140</v>
      </c>
      <c r="I24">
        <v>130</v>
      </c>
    </row>
    <row r="25" spans="1:9" x14ac:dyDescent="0.2">
      <c r="A25" t="s">
        <v>17</v>
      </c>
      <c r="C25" s="181">
        <f t="shared" si="8"/>
        <v>2.8492421256554986E-2</v>
      </c>
      <c r="D25" s="181">
        <f t="shared" si="6"/>
        <v>5.5E-2</v>
      </c>
      <c r="E25" s="181">
        <f t="shared" si="7"/>
        <v>3.5714285714285712E-2</v>
      </c>
      <c r="G25" s="171">
        <f>G26-G23-G24</f>
        <v>6447.7294028722581</v>
      </c>
      <c r="H25" s="177">
        <v>110</v>
      </c>
      <c r="I25" s="177">
        <v>60</v>
      </c>
    </row>
    <row r="26" spans="1:9" x14ac:dyDescent="0.2">
      <c r="A26" t="s">
        <v>144</v>
      </c>
      <c r="C26" s="180">
        <f t="shared" si="8"/>
        <v>8.5034013605442174E-2</v>
      </c>
      <c r="D26" s="180">
        <f t="shared" si="6"/>
        <v>0.155</v>
      </c>
      <c r="E26" s="180">
        <f t="shared" si="7"/>
        <v>0.13095238095238096</v>
      </c>
      <c r="G26" s="169">
        <f>G18/4.2</f>
        <v>19242.882338120431</v>
      </c>
      <c r="H26">
        <f>SUM(H23:H25)</f>
        <v>310</v>
      </c>
      <c r="I26">
        <f>SUM(I23:I25)</f>
        <v>220</v>
      </c>
    </row>
    <row r="27" spans="1:9" x14ac:dyDescent="0.2">
      <c r="A27" t="s">
        <v>20</v>
      </c>
      <c r="C27" s="181">
        <f t="shared" si="8"/>
        <v>0.31496598639455786</v>
      </c>
      <c r="D27" s="181">
        <f t="shared" si="6"/>
        <v>0.375</v>
      </c>
      <c r="E27" s="181">
        <f t="shared" si="7"/>
        <v>0.34523809523809523</v>
      </c>
      <c r="G27" s="171">
        <f>G28-G26</f>
        <v>71275.636180398098</v>
      </c>
      <c r="H27" s="177">
        <v>750</v>
      </c>
      <c r="I27" s="177">
        <v>580</v>
      </c>
    </row>
    <row r="28" spans="1:9" x14ac:dyDescent="0.2">
      <c r="A28" t="s">
        <v>174</v>
      </c>
      <c r="C28" s="180">
        <f t="shared" si="8"/>
        <v>0.4</v>
      </c>
      <c r="D28" s="180">
        <f t="shared" si="6"/>
        <v>0.53</v>
      </c>
      <c r="E28" s="180">
        <f t="shared" si="7"/>
        <v>0.47619047619047616</v>
      </c>
      <c r="G28" s="169">
        <f>0.4*G30</f>
        <v>90518.518518518526</v>
      </c>
      <c r="H28" s="169">
        <f>H26+H27</f>
        <v>1060</v>
      </c>
      <c r="I28" s="169">
        <f>I26+I27</f>
        <v>800</v>
      </c>
    </row>
    <row r="29" spans="1:9" x14ac:dyDescent="0.2">
      <c r="A29" t="s">
        <v>145</v>
      </c>
      <c r="C29" s="180">
        <f t="shared" si="8"/>
        <v>0.59999999999999987</v>
      </c>
      <c r="D29" s="180">
        <f t="shared" si="6"/>
        <v>0.47</v>
      </c>
      <c r="E29" s="180">
        <f t="shared" si="7"/>
        <v>0.52380952380952384</v>
      </c>
      <c r="G29" s="169">
        <f>G30-G28</f>
        <v>135777.77777777775</v>
      </c>
      <c r="H29">
        <v>940</v>
      </c>
      <c r="I29">
        <v>880</v>
      </c>
    </row>
    <row r="30" spans="1:9" ht="13.5" thickBot="1" x14ac:dyDescent="0.25">
      <c r="A30" t="s">
        <v>146</v>
      </c>
      <c r="C30" s="182">
        <f t="shared" si="8"/>
        <v>1</v>
      </c>
      <c r="D30" s="182">
        <f t="shared" si="6"/>
        <v>1</v>
      </c>
      <c r="E30" s="182">
        <f t="shared" si="7"/>
        <v>1</v>
      </c>
      <c r="G30" s="176">
        <f>G21</f>
        <v>226296.29629629629</v>
      </c>
      <c r="H30" s="176">
        <f>H28+H29</f>
        <v>2000</v>
      </c>
      <c r="I30" s="176">
        <f>I28+I29</f>
        <v>1680</v>
      </c>
    </row>
    <row r="31" spans="1:9" ht="13.5" thickTop="1" x14ac:dyDescent="0.2"/>
    <row r="32" spans="1:9" ht="15" x14ac:dyDescent="0.25">
      <c r="A32" s="163" t="s">
        <v>148</v>
      </c>
      <c r="B32" s="163" t="s">
        <v>166</v>
      </c>
    </row>
    <row r="33" spans="1:4" ht="15" x14ac:dyDescent="0.25">
      <c r="A33" s="164" t="s">
        <v>131</v>
      </c>
    </row>
    <row r="34" spans="1:4" ht="38.25" x14ac:dyDescent="0.2">
      <c r="A34" s="177" t="s">
        <v>193</v>
      </c>
      <c r="B34" s="177"/>
      <c r="C34" s="177"/>
      <c r="D34" s="183" t="s">
        <v>194</v>
      </c>
    </row>
    <row r="35" spans="1:4" x14ac:dyDescent="0.2">
      <c r="A35" t="s">
        <v>1</v>
      </c>
      <c r="D35" s="168">
        <f>(H3-I3)/I3</f>
        <v>5.2631578947368418E-2</v>
      </c>
    </row>
    <row r="36" spans="1:4" x14ac:dyDescent="0.2">
      <c r="A36" t="s">
        <v>133</v>
      </c>
      <c r="D36" s="168">
        <f t="shared" ref="D36:D43" si="9">(H4-I4)/I4</f>
        <v>4.7737284741689957E-2</v>
      </c>
    </row>
    <row r="37" spans="1:4" x14ac:dyDescent="0.2">
      <c r="A37" t="s">
        <v>134</v>
      </c>
      <c r="D37" s="170">
        <f t="shared" si="9"/>
        <v>0.1111111111111111</v>
      </c>
    </row>
    <row r="38" spans="1:4" x14ac:dyDescent="0.2">
      <c r="A38" t="s">
        <v>135</v>
      </c>
      <c r="D38" s="172">
        <f t="shared" si="9"/>
        <v>4.9942017781213689E-2</v>
      </c>
    </row>
    <row r="39" spans="1:4" x14ac:dyDescent="0.2">
      <c r="A39" t="s">
        <v>32</v>
      </c>
      <c r="D39" s="168">
        <f t="shared" si="9"/>
        <v>7.9087452471483577E-2</v>
      </c>
    </row>
    <row r="40" spans="1:4" x14ac:dyDescent="0.2">
      <c r="A40" t="s">
        <v>136</v>
      </c>
      <c r="D40" s="170">
        <f t="shared" si="9"/>
        <v>0.46666666666666667</v>
      </c>
    </row>
    <row r="41" spans="1:4" x14ac:dyDescent="0.2">
      <c r="A41" t="s">
        <v>137</v>
      </c>
      <c r="D41" s="168">
        <f t="shared" si="9"/>
        <v>-3.546798029556561E-2</v>
      </c>
    </row>
    <row r="42" spans="1:4" x14ac:dyDescent="0.2">
      <c r="A42" t="s">
        <v>25</v>
      </c>
      <c r="D42" s="168">
        <f t="shared" si="9"/>
        <v>-3.5467980295565568E-2</v>
      </c>
    </row>
    <row r="43" spans="1:4" ht="13.5" thickBot="1" x14ac:dyDescent="0.25">
      <c r="A43" t="s">
        <v>153</v>
      </c>
      <c r="D43" s="175">
        <f t="shared" si="9"/>
        <v>-3.5467980295565631E-2</v>
      </c>
    </row>
    <row r="44" spans="1:4" ht="13.5" thickTop="1" x14ac:dyDescent="0.2">
      <c r="D44" s="184"/>
    </row>
    <row r="45" spans="1:4" ht="15" x14ac:dyDescent="0.25">
      <c r="B45" s="163" t="s">
        <v>167</v>
      </c>
      <c r="D45" s="184"/>
    </row>
    <row r="46" spans="1:4" ht="15" x14ac:dyDescent="0.25">
      <c r="A46" s="164" t="s">
        <v>138</v>
      </c>
      <c r="D46" s="184"/>
    </row>
    <row r="47" spans="1:4" ht="38.25" x14ac:dyDescent="0.2">
      <c r="A47" s="177" t="s">
        <v>193</v>
      </c>
      <c r="B47" s="177"/>
      <c r="C47" s="177"/>
      <c r="D47" s="183" t="str">
        <f>$D$34</f>
        <v>Percent Change in 2015</v>
      </c>
    </row>
    <row r="48" spans="1:4" x14ac:dyDescent="0.2">
      <c r="A48" t="s">
        <v>139</v>
      </c>
      <c r="D48" s="168">
        <f>(H15-I15)/I15</f>
        <v>-0.875</v>
      </c>
    </row>
    <row r="49" spans="1:4" x14ac:dyDescent="0.2">
      <c r="A49" t="s">
        <v>10</v>
      </c>
      <c r="D49" s="168">
        <f t="shared" ref="D49:D63" si="10">(H16-I16)/I16</f>
        <v>0.19047619047619047</v>
      </c>
    </row>
    <row r="50" spans="1:4" x14ac:dyDescent="0.2">
      <c r="A50" t="s">
        <v>11</v>
      </c>
      <c r="D50" s="170">
        <f t="shared" si="10"/>
        <v>0.48192771084337349</v>
      </c>
    </row>
    <row r="51" spans="1:4" x14ac:dyDescent="0.2">
      <c r="A51" t="s">
        <v>140</v>
      </c>
      <c r="D51" s="168">
        <f t="shared" si="10"/>
        <v>0.23456790123456789</v>
      </c>
    </row>
    <row r="52" spans="1:4" x14ac:dyDescent="0.2">
      <c r="A52" t="s">
        <v>141</v>
      </c>
      <c r="D52" s="168">
        <f t="shared" si="10"/>
        <v>0.14942528735632185</v>
      </c>
    </row>
    <row r="53" spans="1:4" x14ac:dyDescent="0.2">
      <c r="A53" t="s">
        <v>142</v>
      </c>
      <c r="D53" s="168"/>
    </row>
    <row r="54" spans="1:4" ht="13.5" thickBot="1" x14ac:dyDescent="0.25">
      <c r="A54" t="s">
        <v>143</v>
      </c>
      <c r="D54" s="175">
        <f t="shared" si="10"/>
        <v>0.19047619047619047</v>
      </c>
    </row>
    <row r="55" spans="1:4" ht="13.5" thickTop="1" x14ac:dyDescent="0.2">
      <c r="D55" s="168"/>
    </row>
    <row r="56" spans="1:4" x14ac:dyDescent="0.2">
      <c r="A56" t="s">
        <v>16</v>
      </c>
      <c r="D56" s="168">
        <f t="shared" si="10"/>
        <v>1</v>
      </c>
    </row>
    <row r="57" spans="1:4" x14ac:dyDescent="0.2">
      <c r="A57" t="s">
        <v>18</v>
      </c>
      <c r="D57" s="168">
        <f t="shared" si="10"/>
        <v>7.6923076923076927E-2</v>
      </c>
    </row>
    <row r="58" spans="1:4" x14ac:dyDescent="0.2">
      <c r="A58" t="s">
        <v>17</v>
      </c>
      <c r="D58" s="170">
        <f t="shared" si="10"/>
        <v>0.83333333333333337</v>
      </c>
    </row>
    <row r="59" spans="1:4" x14ac:dyDescent="0.2">
      <c r="A59" t="s">
        <v>144</v>
      </c>
      <c r="D59" s="168">
        <f t="shared" si="10"/>
        <v>0.40909090909090912</v>
      </c>
    </row>
    <row r="60" spans="1:4" x14ac:dyDescent="0.2">
      <c r="A60" t="s">
        <v>20</v>
      </c>
      <c r="D60" s="170">
        <f t="shared" si="10"/>
        <v>0.29310344827586204</v>
      </c>
    </row>
    <row r="61" spans="1:4" x14ac:dyDescent="0.2">
      <c r="A61" t="s">
        <v>174</v>
      </c>
      <c r="D61" s="168">
        <f t="shared" si="10"/>
        <v>0.32500000000000001</v>
      </c>
    </row>
    <row r="62" spans="1:4" x14ac:dyDescent="0.2">
      <c r="A62" t="s">
        <v>145</v>
      </c>
      <c r="D62" s="168">
        <f t="shared" si="10"/>
        <v>6.8181818181818177E-2</v>
      </c>
    </row>
    <row r="63" spans="1:4" ht="13.5" thickBot="1" x14ac:dyDescent="0.25">
      <c r="A63" t="s">
        <v>146</v>
      </c>
      <c r="D63" s="175">
        <f t="shared" si="10"/>
        <v>0.19047619047619047</v>
      </c>
    </row>
    <row r="64" spans="1:4" ht="13.5" thickTop="1" x14ac:dyDescent="0.2"/>
  </sheetData>
  <pageMargins left="0.7" right="0.7" top="0.75" bottom="0.75" header="0.3" footer="0.3"/>
  <pageSetup scale="89" orientation="portrait" r:id="rId1"/>
  <rowBreaks count="1" manualBreakCount="1">
    <brk id="45" max="16383" man="1"/>
  </rowBreaks>
  <ignoredErrors>
    <ignoredError sqref="H10:I10 G28" formula="1"/>
    <ignoredError sqref="H1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CDEF2EFBBA0248B57D941E6D375189" ma:contentTypeVersion="0" ma:contentTypeDescription="Create a new document." ma:contentTypeScope="" ma:versionID="536bf20b0e78ae746a2053537dd22401">
  <xsd:schema xmlns:xsd="http://www.w3.org/2001/XMLSchema" xmlns:xs="http://www.w3.org/2001/XMLSchema" xmlns:p="http://schemas.microsoft.com/office/2006/metadata/properties" targetNamespace="http://schemas.microsoft.com/office/2006/metadata/properties" ma:root="true" ma:fieldsID="d15787acf22db4e4c0ac8b858fca640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3242F8-CAC1-4458-BC40-A75CE9F254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045E37-426A-4C18-ADF9-74BEB379381B}">
  <ds:schemaRefs>
    <ds:schemaRef ds:uri="http://schemas.microsoft.com/sharepoint/v3/contenttype/forms"/>
  </ds:schemaRefs>
</ds:datastoreItem>
</file>

<file path=customXml/itemProps3.xml><?xml version="1.0" encoding="utf-8"?>
<ds:datastoreItem xmlns:ds="http://schemas.openxmlformats.org/officeDocument/2006/customXml" ds:itemID="{B73004D9-8896-45F4-85DB-C4525B129F72}">
  <ds:schemaRefs>
    <ds:schemaRef ds:uri="http://schemas.microsoft.com/office/2006/metadata/properties"/>
    <ds:schemaRef ds:uri="http://www.w3.org/XML/1998/namespace"/>
    <ds:schemaRef ds:uri="http://purl.org/dc/dcmitype/"/>
    <ds:schemaRef ds:uri="http://purl.org/dc/term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04 Chapter model</vt:lpstr>
      <vt:lpstr>Financial Leverage</vt:lpstr>
      <vt:lpstr>4-2</vt:lpstr>
      <vt:lpstr>4-3</vt:lpstr>
      <vt:lpstr>4-5</vt:lpstr>
      <vt:lpstr>Web App 4A</vt:lpstr>
      <vt:lpstr>'04 Chapter model'!Print_Area</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Christopher Buzzard</dc:creator>
  <cp:lastModifiedBy>David A. Fleming</cp:lastModifiedBy>
  <cp:lastPrinted>2008-06-15T15:27:04Z</cp:lastPrinted>
  <dcterms:created xsi:type="dcterms:W3CDTF">1999-05-21T04:40:53Z</dcterms:created>
  <dcterms:modified xsi:type="dcterms:W3CDTF">2019-09-16T18:54:57Z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0x0101003DCDEF2EFBBA0248B57D941E6D375189</vt:lpwstr>
  </property>
</Properties>
</file>